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netorgft16319806.sharepoint.com/sites/DTLCorporate/DTL  Quotes/DTL Customers/S/Sharkbay Resources/Bitterns Recycling Pipeline/Submitted to Client/"/>
    </mc:Choice>
  </mc:AlternateContent>
  <xr:revisionPtr revIDLastSave="30" documentId="8_{544F7CA8-F5EB-4F0E-B9E4-DA14BFCF9B49}" xr6:coauthVersionLast="47" xr6:coauthVersionMax="47" xr10:uidLastSave="{CCCE1200-354A-4AB9-AF72-9DD21466EE9B}"/>
  <bookViews>
    <workbookView xWindow="-108" yWindow="-108" windowWidth="23256" windowHeight="13896" tabRatio="886" firstSheet="1" activeTab="5" xr2:uid="{00000000-000D-0000-FFFF-FFFF00000000}"/>
  </bookViews>
  <sheets>
    <sheet name="Read Me" sheetId="48" r:id="rId1"/>
    <sheet name="Summary" sheetId="16" r:id="rId2"/>
    <sheet name="Budget-Material" sheetId="47" r:id="rId3"/>
    <sheet name="Budget-Labour Equipment" sheetId="46" r:id="rId4"/>
    <sheet name="Mob-Demob" sheetId="14" r:id="rId5"/>
    <sheet name="Prelims" sheetId="49" r:id="rId6"/>
    <sheet name="Installation 1" sheetId="28" r:id="rId7"/>
    <sheet name="Subcontract 2" sheetId="38" r:id="rId8"/>
    <sheet name="Optional-3" sheetId="39" r:id="rId9"/>
    <sheet name="Materials 1" sheetId="5" r:id="rId10"/>
    <sheet name="Subcontractor 2" sheetId="44" r:id="rId11"/>
    <sheet name="Optional 3" sheetId="45" r:id="rId12"/>
    <sheet name="Pipe Capacity" sheetId="13" r:id="rId13"/>
    <sheet name="Database Lab+Equip" sheetId="37" r:id="rId14"/>
  </sheets>
  <definedNames>
    <definedName name="_xlnm._FilterDatabase" localSheetId="3" hidden="1">'Budget-Labour Equipment'!$A$30:$D$123</definedName>
    <definedName name="_xlnm._FilterDatabase" localSheetId="2" hidden="1">'Budget-Material'!$A$4:$H$150</definedName>
    <definedName name="_xlnm.Print_Area" localSheetId="3">'Budget-Labour Equipment'!$A$1:$V$50</definedName>
    <definedName name="_xlnm.Print_Area" localSheetId="13">'Database Lab+Equip'!$A$1:$D$82</definedName>
    <definedName name="_xlnm.Print_Area" localSheetId="9">'Materials 1'!$A$1:$P$126</definedName>
    <definedName name="_xlnm.Print_Titles" localSheetId="13">'Database Lab+Equip'!$1:$1</definedName>
    <definedName name="_xlnm.Print_Titles" localSheetId="6">'Installation 1'!$1:$2</definedName>
    <definedName name="_xlnm.Print_Titles" localSheetId="9">'Materials 1'!$1:$2</definedName>
    <definedName name="_xlnm.Print_Titles" localSheetId="11">'Optional 3'!$1:$2</definedName>
    <definedName name="_xlnm.Print_Titles" localSheetId="8">'Optional-3'!$1:$2</definedName>
    <definedName name="_xlnm.Print_Titles" localSheetId="12">'Pipe Capacity'!$1:$1</definedName>
    <definedName name="_xlnm.Print_Titles" localSheetId="7">'Subcontract 2'!$1:$2</definedName>
    <definedName name="_xlnm.Print_Titles" localSheetId="10">'Subcontractor 2'!$1:$2</definedName>
    <definedName name="solver_cvg" localSheetId="13" hidden="1">0.0001</definedName>
    <definedName name="solver_drv" localSheetId="13" hidden="1">1</definedName>
    <definedName name="solver_eng" localSheetId="13" hidden="1">1</definedName>
    <definedName name="solver_est" localSheetId="13" hidden="1">1</definedName>
    <definedName name="solver_itr" localSheetId="13" hidden="1">2147483647</definedName>
    <definedName name="solver_mip" localSheetId="13" hidden="1">2147483647</definedName>
    <definedName name="solver_mni" localSheetId="13" hidden="1">30</definedName>
    <definedName name="solver_mrt" localSheetId="13" hidden="1">0.075</definedName>
    <definedName name="solver_msl" localSheetId="13" hidden="1">2</definedName>
    <definedName name="solver_neg" localSheetId="13" hidden="1">1</definedName>
    <definedName name="solver_nod" localSheetId="13" hidden="1">2147483647</definedName>
    <definedName name="solver_num" localSheetId="13" hidden="1">0</definedName>
    <definedName name="solver_nwt" localSheetId="13" hidden="1">1</definedName>
    <definedName name="solver_opt" localSheetId="13" hidden="1">'Database Lab+Equip'!$A$1</definedName>
    <definedName name="solver_pre" localSheetId="13" hidden="1">0.000001</definedName>
    <definedName name="solver_rbv" localSheetId="13" hidden="1">1</definedName>
    <definedName name="solver_rlx" localSheetId="13" hidden="1">2</definedName>
    <definedName name="solver_rsd" localSheetId="13" hidden="1">0</definedName>
    <definedName name="solver_scl" localSheetId="13" hidden="1">1</definedName>
    <definedName name="solver_sho" localSheetId="13" hidden="1">2</definedName>
    <definedName name="solver_ssz" localSheetId="13" hidden="1">100</definedName>
    <definedName name="solver_tim" localSheetId="13" hidden="1">2147483647</definedName>
    <definedName name="solver_tol" localSheetId="13" hidden="1">0.01</definedName>
    <definedName name="solver_typ" localSheetId="13" hidden="1">1</definedName>
    <definedName name="solver_val" localSheetId="13" hidden="1">0</definedName>
    <definedName name="solver_ver" localSheetId="13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5" i="28" l="1"/>
  <c r="F5" i="45"/>
  <c r="G5" i="45"/>
  <c r="H5" i="45" s="1"/>
  <c r="I5" i="45" s="1"/>
  <c r="F6" i="45"/>
  <c r="G6" i="45"/>
  <c r="H6" i="45" s="1"/>
  <c r="I6" i="45" s="1"/>
  <c r="B22" i="16"/>
  <c r="M24" i="16" l="1"/>
  <c r="B330" i="28"/>
  <c r="B329" i="28"/>
  <c r="B322" i="28"/>
  <c r="B321" i="28"/>
  <c r="B305" i="28"/>
  <c r="B304" i="28"/>
  <c r="B303" i="28"/>
  <c r="B302" i="28"/>
  <c r="B301" i="28"/>
  <c r="B294" i="28"/>
  <c r="B293" i="28"/>
  <c r="E288" i="28"/>
  <c r="C287" i="28"/>
  <c r="J11" i="16"/>
  <c r="J14" i="16"/>
  <c r="J15" i="16"/>
  <c r="J16" i="16"/>
  <c r="J17" i="16"/>
  <c r="J18" i="16"/>
  <c r="J20" i="16"/>
  <c r="I59" i="37" l="1"/>
  <c r="I50" i="37"/>
  <c r="I60" i="37"/>
  <c r="I61" i="37"/>
  <c r="B90" i="14"/>
  <c r="B91" i="14"/>
  <c r="B23" i="28"/>
  <c r="B24" i="28"/>
  <c r="I62" i="37"/>
  <c r="I63" i="37"/>
  <c r="F38" i="49"/>
  <c r="F39" i="49"/>
  <c r="F40" i="49"/>
  <c r="H40" i="49" s="1"/>
  <c r="F41" i="49"/>
  <c r="F42" i="49"/>
  <c r="F43" i="49"/>
  <c r="F44" i="49"/>
  <c r="F37" i="49"/>
  <c r="G37" i="49"/>
  <c r="H37" i="49"/>
  <c r="I37" i="49" s="1"/>
  <c r="G44" i="49"/>
  <c r="H44" i="49"/>
  <c r="I44" i="49" s="1"/>
  <c r="G43" i="49"/>
  <c r="H43" i="49"/>
  <c r="I43" i="49" s="1"/>
  <c r="G42" i="49"/>
  <c r="H42" i="49"/>
  <c r="I42" i="49" s="1"/>
  <c r="G41" i="49"/>
  <c r="H41" i="49"/>
  <c r="I41" i="49" s="1"/>
  <c r="G40" i="49"/>
  <c r="G45" i="49" s="1"/>
  <c r="G39" i="49"/>
  <c r="H39" i="49"/>
  <c r="I39" i="49" s="1"/>
  <c r="G38" i="49"/>
  <c r="H38" i="49"/>
  <c r="I38" i="49" s="1"/>
  <c r="B27" i="49"/>
  <c r="E27" i="49"/>
  <c r="B28" i="49"/>
  <c r="E28" i="49"/>
  <c r="B29" i="49"/>
  <c r="E29" i="49"/>
  <c r="F44" i="14"/>
  <c r="F45" i="14"/>
  <c r="F46" i="14"/>
  <c r="F47" i="14"/>
  <c r="F48" i="14"/>
  <c r="F49" i="14"/>
  <c r="F50" i="14"/>
  <c r="B164" i="28"/>
  <c r="B163" i="28"/>
  <c r="B162" i="28"/>
  <c r="B161" i="28"/>
  <c r="B182" i="28"/>
  <c r="B181" i="28"/>
  <c r="B153" i="28"/>
  <c r="B135" i="28"/>
  <c r="B136" i="28"/>
  <c r="B137" i="28"/>
  <c r="B138" i="28"/>
  <c r="B139" i="28"/>
  <c r="E92" i="28"/>
  <c r="E64" i="28"/>
  <c r="J13" i="16" s="1"/>
  <c r="B105" i="28"/>
  <c r="B106" i="28"/>
  <c r="B107" i="28"/>
  <c r="B108" i="28"/>
  <c r="B99" i="28"/>
  <c r="B100" i="28"/>
  <c r="B109" i="28"/>
  <c r="B98" i="28"/>
  <c r="B80" i="28"/>
  <c r="B79" i="28"/>
  <c r="B78" i="28"/>
  <c r="B77" i="28"/>
  <c r="B70" i="28"/>
  <c r="B69" i="28"/>
  <c r="B52" i="28"/>
  <c r="B53" i="28"/>
  <c r="E36" i="28"/>
  <c r="J12" i="16" s="1"/>
  <c r="C35" i="28"/>
  <c r="F13" i="28"/>
  <c r="E13" i="28"/>
  <c r="C25" i="13"/>
  <c r="C24" i="13"/>
  <c r="E6" i="13"/>
  <c r="E5" i="13"/>
  <c r="E4" i="13"/>
  <c r="E21" i="13"/>
  <c r="B13" i="28"/>
  <c r="I2" i="37"/>
  <c r="B89" i="14"/>
  <c r="B88" i="14"/>
  <c r="I58" i="37"/>
  <c r="B66" i="14"/>
  <c r="B65" i="14"/>
  <c r="B63" i="14"/>
  <c r="B87" i="14"/>
  <c r="B86" i="14"/>
  <c r="B85" i="14"/>
  <c r="B84" i="14"/>
  <c r="B83" i="14"/>
  <c r="B82" i="14"/>
  <c r="B81" i="14"/>
  <c r="B80" i="14"/>
  <c r="B79" i="14"/>
  <c r="B78" i="14"/>
  <c r="B26" i="14"/>
  <c r="I57" i="37"/>
  <c r="B27" i="14"/>
  <c r="B28" i="14"/>
  <c r="B29" i="14"/>
  <c r="B30" i="14"/>
  <c r="B31" i="14"/>
  <c r="B32" i="14"/>
  <c r="B33" i="14"/>
  <c r="F43" i="14"/>
  <c r="D21" i="37"/>
  <c r="I3" i="37"/>
  <c r="I46" i="37"/>
  <c r="I47" i="37"/>
  <c r="I48" i="37"/>
  <c r="I45" i="37"/>
  <c r="I44" i="37"/>
  <c r="I43" i="37"/>
  <c r="D20" i="37"/>
  <c r="D19" i="37"/>
  <c r="D11" i="37"/>
  <c r="I40" i="49" l="1"/>
  <c r="I45" i="49" s="1"/>
  <c r="K46" i="49" s="1"/>
  <c r="H45" i="49"/>
  <c r="D5" i="37"/>
  <c r="D6" i="37"/>
  <c r="D7" i="37"/>
  <c r="D8" i="37"/>
  <c r="D9" i="37"/>
  <c r="D10" i="37"/>
  <c r="D12" i="37"/>
  <c r="D13" i="37"/>
  <c r="D14" i="37"/>
  <c r="D15" i="37"/>
  <c r="D16" i="37"/>
  <c r="D17" i="37"/>
  <c r="D18" i="37"/>
  <c r="I4" i="37"/>
  <c r="I5" i="37"/>
  <c r="I6" i="37"/>
  <c r="I7" i="37"/>
  <c r="I8" i="37"/>
  <c r="I9" i="37"/>
  <c r="I10" i="37"/>
  <c r="I11" i="37"/>
  <c r="I12" i="37"/>
  <c r="I13" i="37"/>
  <c r="I14" i="37"/>
  <c r="I15" i="37"/>
  <c r="I16" i="37"/>
  <c r="I17" i="37"/>
  <c r="I18" i="37"/>
  <c r="I19" i="37"/>
  <c r="I20" i="37"/>
  <c r="I21" i="37"/>
  <c r="I22" i="37"/>
  <c r="I23" i="37"/>
  <c r="I24" i="37"/>
  <c r="I25" i="37"/>
  <c r="I26" i="37"/>
  <c r="I27" i="37"/>
  <c r="I28" i="37"/>
  <c r="I29" i="37"/>
  <c r="I30" i="37"/>
  <c r="I31" i="37"/>
  <c r="I32" i="37"/>
  <c r="I33" i="37"/>
  <c r="I34" i="37"/>
  <c r="I35" i="37"/>
  <c r="I36" i="37"/>
  <c r="I37" i="37"/>
  <c r="I38" i="37"/>
  <c r="I39" i="37"/>
  <c r="I40" i="37"/>
  <c r="I41" i="37"/>
  <c r="I42" i="37"/>
  <c r="I49" i="37"/>
  <c r="I51" i="37"/>
  <c r="I52" i="37"/>
  <c r="I53" i="37"/>
  <c r="I54" i="37"/>
  <c r="I55" i="37"/>
  <c r="I56" i="37"/>
  <c r="D3" i="37"/>
  <c r="D4" i="37"/>
  <c r="D2" i="37"/>
  <c r="F65" i="5"/>
  <c r="G65" i="5"/>
  <c r="H65" i="5" s="1"/>
  <c r="I65" i="5" s="1"/>
  <c r="F62" i="5"/>
  <c r="G62" i="5"/>
  <c r="H62" i="5" s="1"/>
  <c r="I62" i="5" s="1"/>
  <c r="F63" i="5"/>
  <c r="G63" i="5"/>
  <c r="H63" i="5" s="1"/>
  <c r="I63" i="5" s="1"/>
  <c r="F64" i="5"/>
  <c r="G64" i="5"/>
  <c r="H64" i="5" s="1"/>
  <c r="I64" i="5" s="1"/>
  <c r="A55" i="5"/>
  <c r="B97" i="28" l="1"/>
  <c r="B51" i="28"/>
  <c r="F92" i="5"/>
  <c r="G92" i="5"/>
  <c r="H92" i="5" s="1"/>
  <c r="I92" i="5" s="1"/>
  <c r="F17" i="5"/>
  <c r="G17" i="5"/>
  <c r="H17" i="5" s="1"/>
  <c r="I17" i="5" s="1"/>
  <c r="F18" i="5"/>
  <c r="G18" i="5"/>
  <c r="H18" i="5" s="1"/>
  <c r="I18" i="5" s="1"/>
  <c r="F19" i="5"/>
  <c r="G19" i="5"/>
  <c r="H19" i="5" s="1"/>
  <c r="I19" i="5" s="1"/>
  <c r="F20" i="5"/>
  <c r="G20" i="5"/>
  <c r="H20" i="5" s="1"/>
  <c r="I20" i="5" s="1"/>
  <c r="F21" i="5"/>
  <c r="G21" i="5"/>
  <c r="H21" i="5" s="1"/>
  <c r="I21" i="5" s="1"/>
  <c r="F22" i="5"/>
  <c r="G22" i="5"/>
  <c r="H22" i="5" s="1"/>
  <c r="I22" i="5" s="1"/>
  <c r="F23" i="5"/>
  <c r="G23" i="5"/>
  <c r="H23" i="5" s="1"/>
  <c r="I23" i="5" s="1"/>
  <c r="F24" i="5"/>
  <c r="G24" i="5"/>
  <c r="H24" i="5" s="1"/>
  <c r="I24" i="5" s="1"/>
  <c r="F25" i="5"/>
  <c r="G25" i="5"/>
  <c r="H25" i="5" s="1"/>
  <c r="I25" i="5" s="1"/>
  <c r="F26" i="5"/>
  <c r="G26" i="5"/>
  <c r="H26" i="5" s="1"/>
  <c r="I26" i="5" s="1"/>
  <c r="F27" i="5"/>
  <c r="G27" i="5"/>
  <c r="H27" i="5" s="1"/>
  <c r="I27" i="5" s="1"/>
  <c r="F28" i="5"/>
  <c r="G28" i="5"/>
  <c r="H28" i="5" s="1"/>
  <c r="I28" i="5" s="1"/>
  <c r="F29" i="5"/>
  <c r="G29" i="5"/>
  <c r="H29" i="5" s="1"/>
  <c r="I29" i="5" s="1"/>
  <c r="F30" i="5"/>
  <c r="G30" i="5"/>
  <c r="H30" i="5" s="1"/>
  <c r="I30" i="5" s="1"/>
  <c r="F31" i="5"/>
  <c r="G31" i="5"/>
  <c r="H31" i="5" s="1"/>
  <c r="I31" i="5" s="1"/>
  <c r="F32" i="5"/>
  <c r="G32" i="5"/>
  <c r="H32" i="5" s="1"/>
  <c r="I32" i="5" s="1"/>
  <c r="F33" i="5"/>
  <c r="G33" i="5"/>
  <c r="H33" i="5" s="1"/>
  <c r="I33" i="5" s="1"/>
  <c r="F34" i="5"/>
  <c r="G34" i="5"/>
  <c r="H34" i="5" s="1"/>
  <c r="I34" i="5" s="1"/>
  <c r="F91" i="5"/>
  <c r="G91" i="5"/>
  <c r="H91" i="5" s="1"/>
  <c r="I91" i="5" s="1"/>
  <c r="F90" i="5"/>
  <c r="G90" i="5"/>
  <c r="H90" i="5" s="1"/>
  <c r="I90" i="5" s="1"/>
  <c r="F67" i="5" l="1"/>
  <c r="G67" i="5"/>
  <c r="H67" i="5" s="1"/>
  <c r="I67" i="5" s="1"/>
  <c r="F68" i="5"/>
  <c r="G68" i="5"/>
  <c r="H68" i="5" s="1"/>
  <c r="I68" i="5" s="1"/>
  <c r="F69" i="5"/>
  <c r="G69" i="5"/>
  <c r="H69" i="5" s="1"/>
  <c r="I69" i="5" s="1"/>
  <c r="F88" i="5"/>
  <c r="G88" i="5"/>
  <c r="H88" i="5" s="1"/>
  <c r="I88" i="5" s="1"/>
  <c r="F89" i="5"/>
  <c r="G89" i="5"/>
  <c r="H89" i="5" s="1"/>
  <c r="I89" i="5" s="1"/>
  <c r="F86" i="5"/>
  <c r="G86" i="5"/>
  <c r="H86" i="5" s="1"/>
  <c r="I86" i="5" s="1"/>
  <c r="F87" i="5"/>
  <c r="G87" i="5"/>
  <c r="H87" i="5" s="1"/>
  <c r="I87" i="5" s="1"/>
  <c r="F77" i="5"/>
  <c r="G77" i="5"/>
  <c r="H77" i="5" s="1"/>
  <c r="I77" i="5" s="1"/>
  <c r="F78" i="5"/>
  <c r="G78" i="5"/>
  <c r="H78" i="5" s="1"/>
  <c r="I78" i="5" s="1"/>
  <c r="F79" i="5"/>
  <c r="G79" i="5"/>
  <c r="H79" i="5" s="1"/>
  <c r="I79" i="5" s="1"/>
  <c r="F80" i="5"/>
  <c r="G80" i="5"/>
  <c r="H80" i="5" s="1"/>
  <c r="I80" i="5" s="1"/>
  <c r="F81" i="5"/>
  <c r="G81" i="5"/>
  <c r="H81" i="5" s="1"/>
  <c r="I81" i="5" s="1"/>
  <c r="F58" i="5"/>
  <c r="G58" i="5"/>
  <c r="H58" i="5" s="1"/>
  <c r="I58" i="5" s="1"/>
  <c r="F59" i="5"/>
  <c r="G59" i="5"/>
  <c r="H59" i="5" s="1"/>
  <c r="I59" i="5" s="1"/>
  <c r="F60" i="5"/>
  <c r="G60" i="5"/>
  <c r="H60" i="5" s="1"/>
  <c r="I60" i="5" s="1"/>
  <c r="F76" i="5"/>
  <c r="G76" i="5"/>
  <c r="H76" i="5" s="1"/>
  <c r="I76" i="5" s="1"/>
  <c r="F82" i="5"/>
  <c r="G82" i="5"/>
  <c r="H82" i="5" s="1"/>
  <c r="I82" i="5" s="1"/>
  <c r="F83" i="5"/>
  <c r="G83" i="5"/>
  <c r="H83" i="5" s="1"/>
  <c r="I83" i="5" s="1"/>
  <c r="F84" i="5"/>
  <c r="G84" i="5"/>
  <c r="H84" i="5" s="1"/>
  <c r="I84" i="5" s="1"/>
  <c r="F85" i="5"/>
  <c r="G85" i="5"/>
  <c r="H85" i="5" s="1"/>
  <c r="I85" i="5" s="1"/>
  <c r="F35" i="5"/>
  <c r="G35" i="5"/>
  <c r="H35" i="5" s="1"/>
  <c r="I35" i="5" s="1"/>
  <c r="F36" i="5"/>
  <c r="G36" i="5"/>
  <c r="H36" i="5" s="1"/>
  <c r="I36" i="5" s="1"/>
  <c r="F37" i="5"/>
  <c r="G37" i="5"/>
  <c r="H37" i="5" s="1"/>
  <c r="I37" i="5" s="1"/>
  <c r="O68" i="5" l="1"/>
  <c r="J93" i="5"/>
  <c r="M10" i="39"/>
  <c r="M9" i="39"/>
  <c r="M10" i="38"/>
  <c r="M9" i="38"/>
  <c r="B157" i="28"/>
  <c r="B156" i="28"/>
  <c r="B155" i="28"/>
  <c r="B154" i="28"/>
  <c r="B134" i="28"/>
  <c r="B133" i="28"/>
  <c r="B129" i="28"/>
  <c r="B128" i="28"/>
  <c r="B127" i="28"/>
  <c r="B126" i="28"/>
  <c r="B125" i="28"/>
  <c r="B73" i="28"/>
  <c r="B72" i="28"/>
  <c r="B71" i="28"/>
  <c r="B50" i="28"/>
  <c r="B49" i="28"/>
  <c r="B45" i="28"/>
  <c r="B44" i="28"/>
  <c r="B43" i="28"/>
  <c r="B42" i="28"/>
  <c r="B41" i="28"/>
  <c r="F45" i="5" l="1"/>
  <c r="G45" i="5"/>
  <c r="H45" i="5" s="1"/>
  <c r="I45" i="5" s="1"/>
  <c r="F46" i="5"/>
  <c r="G46" i="5"/>
  <c r="H46" i="5" s="1"/>
  <c r="I46" i="5" s="1"/>
  <c r="F47" i="5"/>
  <c r="G47" i="5"/>
  <c r="H47" i="5" s="1"/>
  <c r="F48" i="5"/>
  <c r="G48" i="5"/>
  <c r="H48" i="5" s="1"/>
  <c r="I48" i="5" s="1"/>
  <c r="F49" i="5"/>
  <c r="G49" i="5"/>
  <c r="H49" i="5" s="1"/>
  <c r="I49" i="5" s="1"/>
  <c r="F50" i="5"/>
  <c r="G50" i="5"/>
  <c r="H50" i="5" s="1"/>
  <c r="I50" i="5" s="1"/>
  <c r="B349" i="28" l="1"/>
  <c r="B265" i="28"/>
  <c r="B209" i="28"/>
  <c r="B81" i="28" l="1"/>
  <c r="B14" i="28"/>
  <c r="B15" i="28"/>
  <c r="B16" i="28"/>
  <c r="B21" i="28"/>
  <c r="B22" i="28"/>
  <c r="B25" i="28"/>
  <c r="B26" i="28"/>
  <c r="B27" i="28"/>
  <c r="B54" i="28" l="1"/>
  <c r="B55" i="28"/>
  <c r="A146" i="45" l="1"/>
  <c r="A135" i="45"/>
  <c r="A124" i="45"/>
  <c r="A113" i="45"/>
  <c r="A102" i="45"/>
  <c r="A91" i="45"/>
  <c r="A80" i="45"/>
  <c r="A69" i="45"/>
  <c r="A58" i="45"/>
  <c r="A47" i="45"/>
  <c r="A36" i="45"/>
  <c r="A25" i="45"/>
  <c r="A14" i="45"/>
  <c r="A3" i="45"/>
  <c r="A151" i="44"/>
  <c r="G166" i="44"/>
  <c r="H166" i="44" s="1"/>
  <c r="F166" i="44"/>
  <c r="G165" i="44"/>
  <c r="H165" i="44" s="1"/>
  <c r="F165" i="44"/>
  <c r="G164" i="44"/>
  <c r="H164" i="44" s="1"/>
  <c r="F164" i="44"/>
  <c r="G163" i="44"/>
  <c r="H163" i="44" s="1"/>
  <c r="F163" i="44"/>
  <c r="G162" i="44"/>
  <c r="H162" i="44" s="1"/>
  <c r="F162" i="44"/>
  <c r="G161" i="44"/>
  <c r="H161" i="44" s="1"/>
  <c r="F161" i="44"/>
  <c r="G160" i="44"/>
  <c r="H160" i="44" s="1"/>
  <c r="F160" i="44"/>
  <c r="G159" i="44"/>
  <c r="H159" i="44" s="1"/>
  <c r="F159" i="44"/>
  <c r="G158" i="44"/>
  <c r="H158" i="44" s="1"/>
  <c r="F158" i="44"/>
  <c r="G157" i="44"/>
  <c r="H157" i="44" s="1"/>
  <c r="F157" i="44"/>
  <c r="G156" i="44"/>
  <c r="H156" i="44" s="1"/>
  <c r="F156" i="44"/>
  <c r="G155" i="44"/>
  <c r="H155" i="44" s="1"/>
  <c r="F155" i="44"/>
  <c r="G154" i="44"/>
  <c r="H154" i="44" s="1"/>
  <c r="F154" i="44"/>
  <c r="G153" i="44"/>
  <c r="H153" i="44" s="1"/>
  <c r="F153" i="44"/>
  <c r="F167" i="44" s="1"/>
  <c r="A134" i="44"/>
  <c r="A123" i="44"/>
  <c r="A112" i="44"/>
  <c r="A101" i="44"/>
  <c r="A90" i="44"/>
  <c r="A79" i="44"/>
  <c r="A68" i="44"/>
  <c r="A57" i="44"/>
  <c r="A46" i="44"/>
  <c r="A35" i="44"/>
  <c r="A24" i="44"/>
  <c r="A13" i="44"/>
  <c r="A3" i="44"/>
  <c r="A182" i="5"/>
  <c r="A171" i="5"/>
  <c r="G191" i="5"/>
  <c r="H191" i="5" s="1"/>
  <c r="I191" i="5" s="1"/>
  <c r="F191" i="5"/>
  <c r="G190" i="5"/>
  <c r="H190" i="5" s="1"/>
  <c r="I190" i="5" s="1"/>
  <c r="F190" i="5"/>
  <c r="G189" i="5"/>
  <c r="H189" i="5" s="1"/>
  <c r="I189" i="5" s="1"/>
  <c r="F189" i="5"/>
  <c r="G188" i="5"/>
  <c r="H188" i="5" s="1"/>
  <c r="I188" i="5" s="1"/>
  <c r="F188" i="5"/>
  <c r="G187" i="5"/>
  <c r="H187" i="5" s="1"/>
  <c r="I187" i="5" s="1"/>
  <c r="F187" i="5"/>
  <c r="G186" i="5"/>
  <c r="H186" i="5" s="1"/>
  <c r="I186" i="5" s="1"/>
  <c r="F186" i="5"/>
  <c r="G185" i="5"/>
  <c r="H185" i="5" s="1"/>
  <c r="I185" i="5" s="1"/>
  <c r="F185" i="5"/>
  <c r="G184" i="5"/>
  <c r="F184" i="5"/>
  <c r="G180" i="5"/>
  <c r="H180" i="5" s="1"/>
  <c r="I180" i="5" s="1"/>
  <c r="F180" i="5"/>
  <c r="G179" i="5"/>
  <c r="H179" i="5" s="1"/>
  <c r="I179" i="5" s="1"/>
  <c r="F179" i="5"/>
  <c r="G178" i="5"/>
  <c r="H178" i="5" s="1"/>
  <c r="I178" i="5" s="1"/>
  <c r="F178" i="5"/>
  <c r="G177" i="5"/>
  <c r="H177" i="5" s="1"/>
  <c r="I177" i="5" s="1"/>
  <c r="F177" i="5"/>
  <c r="G176" i="5"/>
  <c r="H176" i="5" s="1"/>
  <c r="I176" i="5" s="1"/>
  <c r="F176" i="5"/>
  <c r="G175" i="5"/>
  <c r="H175" i="5" s="1"/>
  <c r="I175" i="5" s="1"/>
  <c r="F175" i="5"/>
  <c r="G174" i="5"/>
  <c r="H174" i="5" s="1"/>
  <c r="I174" i="5" s="1"/>
  <c r="F174" i="5"/>
  <c r="G173" i="5"/>
  <c r="F173" i="5"/>
  <c r="A160" i="5"/>
  <c r="A149" i="5"/>
  <c r="A138" i="5"/>
  <c r="A127" i="5"/>
  <c r="A117" i="5"/>
  <c r="A107" i="5"/>
  <c r="A96" i="5"/>
  <c r="A73" i="5"/>
  <c r="A42" i="5"/>
  <c r="A13" i="5"/>
  <c r="A3" i="5"/>
  <c r="P16" i="45"/>
  <c r="D58" i="16"/>
  <c r="C58" i="16"/>
  <c r="B58" i="16"/>
  <c r="B57" i="16"/>
  <c r="B56" i="16"/>
  <c r="B55" i="16"/>
  <c r="B54" i="16"/>
  <c r="B53" i="16"/>
  <c r="J52" i="16"/>
  <c r="B52" i="16"/>
  <c r="B51" i="16"/>
  <c r="B50" i="16"/>
  <c r="B49" i="16"/>
  <c r="B48" i="16"/>
  <c r="B47" i="16"/>
  <c r="B46" i="16"/>
  <c r="D41" i="16"/>
  <c r="C41" i="16"/>
  <c r="B41" i="16"/>
  <c r="B40" i="16"/>
  <c r="B39" i="16"/>
  <c r="B38" i="16"/>
  <c r="B37" i="16"/>
  <c r="B36" i="16"/>
  <c r="J35" i="16"/>
  <c r="B35" i="16"/>
  <c r="B34" i="16"/>
  <c r="B33" i="16"/>
  <c r="B32" i="16"/>
  <c r="B31" i="16"/>
  <c r="B30" i="16"/>
  <c r="B29" i="16"/>
  <c r="B28" i="16"/>
  <c r="B24" i="16"/>
  <c r="B23" i="16"/>
  <c r="B21" i="16"/>
  <c r="B20" i="16"/>
  <c r="B19" i="16"/>
  <c r="B18" i="16"/>
  <c r="B17" i="16"/>
  <c r="B16" i="16"/>
  <c r="B15" i="16"/>
  <c r="B14" i="16"/>
  <c r="B13" i="16"/>
  <c r="B12" i="16"/>
  <c r="B11" i="16"/>
  <c r="B3" i="16"/>
  <c r="B2" i="16"/>
  <c r="G378" i="39"/>
  <c r="H378" i="39"/>
  <c r="G379" i="39"/>
  <c r="H379" i="39"/>
  <c r="G380" i="39"/>
  <c r="H380" i="39"/>
  <c r="G381" i="39"/>
  <c r="H381" i="39"/>
  <c r="G378" i="38"/>
  <c r="H378" i="38"/>
  <c r="G379" i="38"/>
  <c r="H379" i="38"/>
  <c r="G380" i="38"/>
  <c r="H380" i="38"/>
  <c r="G381" i="38"/>
  <c r="H381" i="38"/>
  <c r="H377" i="39"/>
  <c r="H377" i="38"/>
  <c r="G377" i="39"/>
  <c r="G377" i="38"/>
  <c r="G358" i="38"/>
  <c r="H358" i="38"/>
  <c r="G359" i="38"/>
  <c r="H359" i="38"/>
  <c r="G360" i="38"/>
  <c r="H360" i="38"/>
  <c r="G361" i="38"/>
  <c r="H361" i="38"/>
  <c r="G362" i="38"/>
  <c r="H362" i="38"/>
  <c r="G363" i="38"/>
  <c r="H363" i="38"/>
  <c r="G364" i="38"/>
  <c r="H364" i="38"/>
  <c r="H357" i="38"/>
  <c r="G357" i="38"/>
  <c r="G350" i="39"/>
  <c r="H350" i="39"/>
  <c r="G351" i="39"/>
  <c r="H351" i="39"/>
  <c r="G352" i="39"/>
  <c r="H352" i="39"/>
  <c r="G353" i="39"/>
  <c r="H353" i="39"/>
  <c r="G350" i="38"/>
  <c r="H350" i="38"/>
  <c r="G351" i="38"/>
  <c r="H351" i="38"/>
  <c r="G352" i="38"/>
  <c r="H352" i="38"/>
  <c r="G353" i="38"/>
  <c r="H353" i="38"/>
  <c r="H349" i="39"/>
  <c r="H349" i="38"/>
  <c r="G349" i="39"/>
  <c r="G349" i="38"/>
  <c r="G322" i="39"/>
  <c r="H322" i="39"/>
  <c r="G323" i="39"/>
  <c r="H323" i="39"/>
  <c r="G324" i="39"/>
  <c r="H324" i="39"/>
  <c r="G325" i="39"/>
  <c r="H325" i="39"/>
  <c r="G322" i="38"/>
  <c r="H322" i="38"/>
  <c r="G323" i="38"/>
  <c r="H323" i="38"/>
  <c r="G324" i="38"/>
  <c r="H324" i="38"/>
  <c r="G325" i="38"/>
  <c r="H325" i="38"/>
  <c r="H321" i="39"/>
  <c r="H321" i="38"/>
  <c r="G321" i="39"/>
  <c r="G321" i="38"/>
  <c r="G294" i="39"/>
  <c r="H294" i="39"/>
  <c r="G295" i="39"/>
  <c r="H295" i="39"/>
  <c r="G296" i="39"/>
  <c r="H296" i="39"/>
  <c r="G297" i="39"/>
  <c r="H297" i="39"/>
  <c r="G294" i="38"/>
  <c r="H294" i="38"/>
  <c r="G295" i="38"/>
  <c r="H295" i="38"/>
  <c r="G296" i="38"/>
  <c r="H296" i="38"/>
  <c r="G297" i="38"/>
  <c r="H297" i="38"/>
  <c r="H293" i="39"/>
  <c r="H293" i="38"/>
  <c r="G293" i="39"/>
  <c r="G293" i="38"/>
  <c r="G266" i="39"/>
  <c r="H266" i="39"/>
  <c r="G267" i="39"/>
  <c r="H267" i="39"/>
  <c r="G268" i="39"/>
  <c r="H268" i="39"/>
  <c r="G269" i="39"/>
  <c r="H269" i="39"/>
  <c r="G266" i="38"/>
  <c r="H266" i="38"/>
  <c r="G267" i="38"/>
  <c r="H267" i="38"/>
  <c r="G268" i="38"/>
  <c r="H268" i="38"/>
  <c r="G269" i="38"/>
  <c r="H269" i="38"/>
  <c r="H265" i="39"/>
  <c r="H265" i="38"/>
  <c r="G265" i="39"/>
  <c r="G265" i="38"/>
  <c r="G238" i="39"/>
  <c r="H238" i="39"/>
  <c r="G239" i="39"/>
  <c r="H239" i="39"/>
  <c r="G240" i="39"/>
  <c r="H240" i="39"/>
  <c r="G241" i="39"/>
  <c r="H241" i="39"/>
  <c r="G238" i="38"/>
  <c r="H238" i="38"/>
  <c r="G239" i="38"/>
  <c r="H239" i="38"/>
  <c r="G240" i="38"/>
  <c r="H240" i="38"/>
  <c r="G241" i="38"/>
  <c r="H241" i="38"/>
  <c r="H237" i="39"/>
  <c r="H237" i="38"/>
  <c r="G237" i="39"/>
  <c r="G237" i="38"/>
  <c r="G210" i="39"/>
  <c r="H210" i="39"/>
  <c r="G211" i="39"/>
  <c r="H211" i="39"/>
  <c r="G212" i="39"/>
  <c r="H212" i="39"/>
  <c r="G213" i="39"/>
  <c r="H213" i="39"/>
  <c r="G210" i="38"/>
  <c r="H210" i="38"/>
  <c r="G211" i="38"/>
  <c r="H211" i="38"/>
  <c r="G212" i="38"/>
  <c r="H212" i="38"/>
  <c r="G213" i="38"/>
  <c r="H213" i="38"/>
  <c r="H209" i="39"/>
  <c r="H209" i="38"/>
  <c r="G209" i="39"/>
  <c r="G209" i="38"/>
  <c r="G182" i="39"/>
  <c r="H182" i="39"/>
  <c r="G183" i="39"/>
  <c r="H183" i="39"/>
  <c r="G184" i="39"/>
  <c r="H184" i="39"/>
  <c r="G185" i="39"/>
  <c r="H185" i="39"/>
  <c r="G182" i="38"/>
  <c r="H182" i="38"/>
  <c r="G183" i="38"/>
  <c r="H183" i="38"/>
  <c r="G184" i="38"/>
  <c r="H184" i="38"/>
  <c r="G185" i="38"/>
  <c r="H185" i="38"/>
  <c r="H181" i="39"/>
  <c r="H181" i="38"/>
  <c r="G181" i="39"/>
  <c r="G181" i="38"/>
  <c r="G154" i="39"/>
  <c r="H154" i="39"/>
  <c r="G155" i="39"/>
  <c r="H155" i="39"/>
  <c r="G156" i="39"/>
  <c r="H156" i="39"/>
  <c r="G157" i="39"/>
  <c r="H157" i="39"/>
  <c r="G154" i="38"/>
  <c r="H154" i="38"/>
  <c r="G155" i="38"/>
  <c r="H155" i="38"/>
  <c r="G156" i="38"/>
  <c r="H156" i="38"/>
  <c r="G157" i="38"/>
  <c r="H157" i="38"/>
  <c r="H153" i="39"/>
  <c r="H153" i="38"/>
  <c r="G153" i="39"/>
  <c r="G153" i="38"/>
  <c r="M65" i="39"/>
  <c r="M374" i="39"/>
  <c r="M346" i="39"/>
  <c r="M318" i="39"/>
  <c r="M290" i="39"/>
  <c r="M262" i="39"/>
  <c r="M234" i="39"/>
  <c r="M206" i="39"/>
  <c r="M178" i="39"/>
  <c r="M150" i="39"/>
  <c r="M122" i="39"/>
  <c r="M94" i="39"/>
  <c r="M66" i="39"/>
  <c r="M373" i="39"/>
  <c r="M345" i="39"/>
  <c r="M317" i="39"/>
  <c r="M289" i="39"/>
  <c r="M261" i="39"/>
  <c r="M233" i="39"/>
  <c r="M205" i="39"/>
  <c r="M177" i="39"/>
  <c r="M149" i="39"/>
  <c r="M121" i="39"/>
  <c r="M93" i="39"/>
  <c r="F392" i="39"/>
  <c r="E392" i="39"/>
  <c r="B392" i="39"/>
  <c r="F391" i="39"/>
  <c r="E391" i="39"/>
  <c r="B391" i="39"/>
  <c r="F390" i="39"/>
  <c r="E390" i="39"/>
  <c r="B390" i="39"/>
  <c r="F389" i="39"/>
  <c r="E389" i="39"/>
  <c r="B389" i="39"/>
  <c r="F388" i="39"/>
  <c r="E388" i="39"/>
  <c r="B388" i="39"/>
  <c r="F387" i="39"/>
  <c r="E387" i="39"/>
  <c r="B387" i="39"/>
  <c r="F386" i="39"/>
  <c r="E386" i="39"/>
  <c r="B386" i="39"/>
  <c r="F385" i="39"/>
  <c r="E385" i="39"/>
  <c r="B385" i="39"/>
  <c r="F381" i="39"/>
  <c r="E381" i="39"/>
  <c r="B381" i="39"/>
  <c r="F380" i="39"/>
  <c r="E380" i="39"/>
  <c r="B380" i="39"/>
  <c r="F379" i="39"/>
  <c r="E379" i="39"/>
  <c r="B379" i="39"/>
  <c r="F378" i="39"/>
  <c r="E378" i="39"/>
  <c r="B378" i="39"/>
  <c r="F377" i="39"/>
  <c r="E377" i="39"/>
  <c r="B377" i="39"/>
  <c r="E372" i="39"/>
  <c r="C371" i="39"/>
  <c r="F364" i="39"/>
  <c r="E364" i="39"/>
  <c r="B364" i="39"/>
  <c r="F363" i="39"/>
  <c r="E363" i="39"/>
  <c r="B363" i="39"/>
  <c r="F362" i="39"/>
  <c r="E362" i="39"/>
  <c r="B362" i="39"/>
  <c r="F361" i="39"/>
  <c r="E361" i="39"/>
  <c r="B361" i="39"/>
  <c r="F360" i="39"/>
  <c r="E360" i="39"/>
  <c r="B360" i="39"/>
  <c r="F359" i="39"/>
  <c r="E359" i="39"/>
  <c r="B359" i="39"/>
  <c r="F358" i="39"/>
  <c r="E358" i="39"/>
  <c r="B358" i="39"/>
  <c r="F357" i="39"/>
  <c r="E357" i="39"/>
  <c r="B357" i="39"/>
  <c r="F353" i="39"/>
  <c r="E353" i="39"/>
  <c r="B353" i="39"/>
  <c r="F352" i="39"/>
  <c r="E352" i="39"/>
  <c r="B352" i="39"/>
  <c r="F351" i="39"/>
  <c r="E351" i="39"/>
  <c r="B351" i="39"/>
  <c r="F350" i="39"/>
  <c r="E350" i="39"/>
  <c r="B350" i="39"/>
  <c r="F349" i="39"/>
  <c r="E349" i="39"/>
  <c r="B349" i="39"/>
  <c r="G358" i="39"/>
  <c r="E344" i="39"/>
  <c r="E345" i="39" s="1"/>
  <c r="C343" i="39"/>
  <c r="F336" i="39"/>
  <c r="E336" i="39"/>
  <c r="B336" i="39"/>
  <c r="F335" i="39"/>
  <c r="E335" i="39"/>
  <c r="B335" i="39"/>
  <c r="F334" i="39"/>
  <c r="E334" i="39"/>
  <c r="B334" i="39"/>
  <c r="F333" i="39"/>
  <c r="E333" i="39"/>
  <c r="B333" i="39"/>
  <c r="F332" i="39"/>
  <c r="E332" i="39"/>
  <c r="B332" i="39"/>
  <c r="F331" i="39"/>
  <c r="E331" i="39"/>
  <c r="B331" i="39"/>
  <c r="F330" i="39"/>
  <c r="E330" i="39"/>
  <c r="B330" i="39"/>
  <c r="F329" i="39"/>
  <c r="E329" i="39"/>
  <c r="B329" i="39"/>
  <c r="F325" i="39"/>
  <c r="E325" i="39"/>
  <c r="B325" i="39"/>
  <c r="F324" i="39"/>
  <c r="E324" i="39"/>
  <c r="B324" i="39"/>
  <c r="F323" i="39"/>
  <c r="E323" i="39"/>
  <c r="B323" i="39"/>
  <c r="F322" i="39"/>
  <c r="E322" i="39"/>
  <c r="B322" i="39"/>
  <c r="F321" i="39"/>
  <c r="E321" i="39"/>
  <c r="B321" i="39"/>
  <c r="G331" i="39"/>
  <c r="E316" i="39"/>
  <c r="E317" i="39" s="1"/>
  <c r="C315" i="39"/>
  <c r="F308" i="39"/>
  <c r="E308" i="39"/>
  <c r="B308" i="39"/>
  <c r="F307" i="39"/>
  <c r="E307" i="39"/>
  <c r="B307" i="39"/>
  <c r="F306" i="39"/>
  <c r="E306" i="39"/>
  <c r="B306" i="39"/>
  <c r="F305" i="39"/>
  <c r="E305" i="39"/>
  <c r="B305" i="39"/>
  <c r="F304" i="39"/>
  <c r="E304" i="39"/>
  <c r="B304" i="39"/>
  <c r="F303" i="39"/>
  <c r="E303" i="39"/>
  <c r="B303" i="39"/>
  <c r="F302" i="39"/>
  <c r="E302" i="39"/>
  <c r="B302" i="39"/>
  <c r="F301" i="39"/>
  <c r="E301" i="39"/>
  <c r="B301" i="39"/>
  <c r="F297" i="39"/>
  <c r="E297" i="39"/>
  <c r="B297" i="39"/>
  <c r="F296" i="39"/>
  <c r="E296" i="39"/>
  <c r="B296" i="39"/>
  <c r="F295" i="39"/>
  <c r="E295" i="39"/>
  <c r="B295" i="39"/>
  <c r="F294" i="39"/>
  <c r="E294" i="39"/>
  <c r="B294" i="39"/>
  <c r="F293" i="39"/>
  <c r="E293" i="39"/>
  <c r="B293" i="39"/>
  <c r="E288" i="39"/>
  <c r="E289" i="39" s="1"/>
  <c r="C287" i="39"/>
  <c r="F280" i="39"/>
  <c r="E280" i="39"/>
  <c r="B280" i="39"/>
  <c r="F279" i="39"/>
  <c r="E279" i="39"/>
  <c r="B279" i="39"/>
  <c r="F278" i="39"/>
  <c r="E278" i="39"/>
  <c r="B278" i="39"/>
  <c r="F277" i="39"/>
  <c r="E277" i="39"/>
  <c r="B277" i="39"/>
  <c r="F276" i="39"/>
  <c r="E276" i="39"/>
  <c r="B276" i="39"/>
  <c r="F275" i="39"/>
  <c r="E275" i="39"/>
  <c r="B275" i="39"/>
  <c r="F274" i="39"/>
  <c r="E274" i="39"/>
  <c r="B274" i="39"/>
  <c r="F273" i="39"/>
  <c r="E273" i="39"/>
  <c r="B273" i="39"/>
  <c r="F269" i="39"/>
  <c r="E269" i="39"/>
  <c r="B269" i="39"/>
  <c r="F268" i="39"/>
  <c r="E268" i="39"/>
  <c r="B268" i="39"/>
  <c r="F267" i="39"/>
  <c r="E267" i="39"/>
  <c r="B267" i="39"/>
  <c r="F266" i="39"/>
  <c r="E266" i="39"/>
  <c r="B266" i="39"/>
  <c r="F265" i="39"/>
  <c r="E265" i="39"/>
  <c r="B265" i="39"/>
  <c r="E260" i="39"/>
  <c r="C259" i="39"/>
  <c r="F252" i="39"/>
  <c r="E252" i="39"/>
  <c r="B252" i="39"/>
  <c r="F251" i="39"/>
  <c r="E251" i="39"/>
  <c r="B251" i="39"/>
  <c r="F250" i="39"/>
  <c r="E250" i="39"/>
  <c r="B250" i="39"/>
  <c r="F249" i="39"/>
  <c r="E249" i="39"/>
  <c r="B249" i="39"/>
  <c r="F248" i="39"/>
  <c r="E248" i="39"/>
  <c r="B248" i="39"/>
  <c r="F247" i="39"/>
  <c r="E247" i="39"/>
  <c r="B247" i="39"/>
  <c r="F246" i="39"/>
  <c r="E246" i="39"/>
  <c r="B246" i="39"/>
  <c r="F245" i="39"/>
  <c r="E245" i="39"/>
  <c r="B245" i="39"/>
  <c r="F241" i="39"/>
  <c r="E241" i="39"/>
  <c r="B241" i="39"/>
  <c r="F240" i="39"/>
  <c r="E240" i="39"/>
  <c r="B240" i="39"/>
  <c r="F239" i="39"/>
  <c r="E239" i="39"/>
  <c r="B239" i="39"/>
  <c r="F238" i="39"/>
  <c r="E238" i="39"/>
  <c r="B238" i="39"/>
  <c r="F237" i="39"/>
  <c r="E237" i="39"/>
  <c r="B237" i="39"/>
  <c r="E232" i="39"/>
  <c r="C231" i="39"/>
  <c r="F224" i="39"/>
  <c r="E224" i="39"/>
  <c r="B224" i="39"/>
  <c r="F223" i="39"/>
  <c r="E223" i="39"/>
  <c r="B223" i="39"/>
  <c r="F222" i="39"/>
  <c r="E222" i="39"/>
  <c r="B222" i="39"/>
  <c r="F221" i="39"/>
  <c r="E221" i="39"/>
  <c r="B221" i="39"/>
  <c r="F220" i="39"/>
  <c r="E220" i="39"/>
  <c r="B220" i="39"/>
  <c r="F219" i="39"/>
  <c r="E219" i="39"/>
  <c r="B219" i="39"/>
  <c r="F218" i="39"/>
  <c r="E218" i="39"/>
  <c r="B218" i="39"/>
  <c r="F217" i="39"/>
  <c r="E217" i="39"/>
  <c r="B217" i="39"/>
  <c r="F213" i="39"/>
  <c r="E213" i="39"/>
  <c r="B213" i="39"/>
  <c r="F212" i="39"/>
  <c r="E212" i="39"/>
  <c r="B212" i="39"/>
  <c r="F211" i="39"/>
  <c r="E211" i="39"/>
  <c r="B211" i="39"/>
  <c r="F210" i="39"/>
  <c r="E210" i="39"/>
  <c r="B210" i="39"/>
  <c r="F209" i="39"/>
  <c r="E209" i="39"/>
  <c r="B209" i="39"/>
  <c r="G219" i="39"/>
  <c r="E204" i="39"/>
  <c r="E205" i="39" s="1"/>
  <c r="C203" i="39"/>
  <c r="F196" i="39"/>
  <c r="E196" i="39"/>
  <c r="B196" i="39"/>
  <c r="F195" i="39"/>
  <c r="E195" i="39"/>
  <c r="B195" i="39"/>
  <c r="F194" i="39"/>
  <c r="E194" i="39"/>
  <c r="B194" i="39"/>
  <c r="F193" i="39"/>
  <c r="E193" i="39"/>
  <c r="B193" i="39"/>
  <c r="F192" i="39"/>
  <c r="E192" i="39"/>
  <c r="B192" i="39"/>
  <c r="F191" i="39"/>
  <c r="E191" i="39"/>
  <c r="B191" i="39"/>
  <c r="F190" i="39"/>
  <c r="E190" i="39"/>
  <c r="B190" i="39"/>
  <c r="F189" i="39"/>
  <c r="E189" i="39"/>
  <c r="B189" i="39"/>
  <c r="F185" i="39"/>
  <c r="E185" i="39"/>
  <c r="B185" i="39"/>
  <c r="F184" i="39"/>
  <c r="E184" i="39"/>
  <c r="B184" i="39"/>
  <c r="F183" i="39"/>
  <c r="E183" i="39"/>
  <c r="B183" i="39"/>
  <c r="F182" i="39"/>
  <c r="E182" i="39"/>
  <c r="B182" i="39"/>
  <c r="F181" i="39"/>
  <c r="E181" i="39"/>
  <c r="B181" i="39"/>
  <c r="E176" i="39"/>
  <c r="C175" i="39"/>
  <c r="M38" i="39"/>
  <c r="M37" i="39"/>
  <c r="F392" i="38"/>
  <c r="E392" i="38"/>
  <c r="B392" i="38"/>
  <c r="F391" i="38"/>
  <c r="E391" i="38"/>
  <c r="B391" i="38"/>
  <c r="F390" i="38"/>
  <c r="E390" i="38"/>
  <c r="B390" i="38"/>
  <c r="F389" i="38"/>
  <c r="E389" i="38"/>
  <c r="B389" i="38"/>
  <c r="F388" i="38"/>
  <c r="E388" i="38"/>
  <c r="B388" i="38"/>
  <c r="F387" i="38"/>
  <c r="E387" i="38"/>
  <c r="B387" i="38"/>
  <c r="F386" i="38"/>
  <c r="E386" i="38"/>
  <c r="B386" i="38"/>
  <c r="F385" i="38"/>
  <c r="E385" i="38"/>
  <c r="B385" i="38"/>
  <c r="F381" i="38"/>
  <c r="E381" i="38"/>
  <c r="B381" i="38"/>
  <c r="F380" i="38"/>
  <c r="E380" i="38"/>
  <c r="B380" i="38"/>
  <c r="F379" i="38"/>
  <c r="E379" i="38"/>
  <c r="B379" i="38"/>
  <c r="F378" i="38"/>
  <c r="E378" i="38"/>
  <c r="B378" i="38"/>
  <c r="F377" i="38"/>
  <c r="E377" i="38"/>
  <c r="B377" i="38"/>
  <c r="M374" i="38"/>
  <c r="M373" i="38"/>
  <c r="E372" i="38"/>
  <c r="C371" i="38"/>
  <c r="F364" i="38"/>
  <c r="E364" i="38"/>
  <c r="B364" i="38"/>
  <c r="F363" i="38"/>
  <c r="E363" i="38"/>
  <c r="B363" i="38"/>
  <c r="F362" i="38"/>
  <c r="E362" i="38"/>
  <c r="B362" i="38"/>
  <c r="F361" i="38"/>
  <c r="E361" i="38"/>
  <c r="B361" i="38"/>
  <c r="F360" i="38"/>
  <c r="E360" i="38"/>
  <c r="B360" i="38"/>
  <c r="F359" i="38"/>
  <c r="E359" i="38"/>
  <c r="B359" i="38"/>
  <c r="F358" i="38"/>
  <c r="E358" i="38"/>
  <c r="B358" i="38"/>
  <c r="F357" i="38"/>
  <c r="E357" i="38"/>
  <c r="B357" i="38"/>
  <c r="F353" i="38"/>
  <c r="E353" i="38"/>
  <c r="B353" i="38"/>
  <c r="F352" i="38"/>
  <c r="E352" i="38"/>
  <c r="B352" i="38"/>
  <c r="F351" i="38"/>
  <c r="E351" i="38"/>
  <c r="B351" i="38"/>
  <c r="F350" i="38"/>
  <c r="E350" i="38"/>
  <c r="B350" i="38"/>
  <c r="F349" i="38"/>
  <c r="E349" i="38"/>
  <c r="B349" i="38"/>
  <c r="M346" i="38"/>
  <c r="M345" i="38"/>
  <c r="E344" i="38"/>
  <c r="C343" i="38"/>
  <c r="F336" i="38"/>
  <c r="E336" i="38"/>
  <c r="B336" i="38"/>
  <c r="F335" i="38"/>
  <c r="E335" i="38"/>
  <c r="B335" i="38"/>
  <c r="F334" i="38"/>
  <c r="E334" i="38"/>
  <c r="B334" i="38"/>
  <c r="F333" i="38"/>
  <c r="E333" i="38"/>
  <c r="B333" i="38"/>
  <c r="F332" i="38"/>
  <c r="E332" i="38"/>
  <c r="B332" i="38"/>
  <c r="F331" i="38"/>
  <c r="E331" i="38"/>
  <c r="B331" i="38"/>
  <c r="F330" i="38"/>
  <c r="E330" i="38"/>
  <c r="B330" i="38"/>
  <c r="F329" i="38"/>
  <c r="E329" i="38"/>
  <c r="B329" i="38"/>
  <c r="F325" i="38"/>
  <c r="E325" i="38"/>
  <c r="B325" i="38"/>
  <c r="F324" i="38"/>
  <c r="E324" i="38"/>
  <c r="B324" i="38"/>
  <c r="F323" i="38"/>
  <c r="E323" i="38"/>
  <c r="B323" i="38"/>
  <c r="F322" i="38"/>
  <c r="E322" i="38"/>
  <c r="B322" i="38"/>
  <c r="F321" i="38"/>
  <c r="E321" i="38"/>
  <c r="B321" i="38"/>
  <c r="M318" i="38"/>
  <c r="M317" i="38"/>
  <c r="E316" i="38"/>
  <c r="C315" i="38"/>
  <c r="F308" i="38"/>
  <c r="E308" i="38"/>
  <c r="B308" i="38"/>
  <c r="F307" i="38"/>
  <c r="E307" i="38"/>
  <c r="B307" i="38"/>
  <c r="F306" i="38"/>
  <c r="E306" i="38"/>
  <c r="B306" i="38"/>
  <c r="F305" i="38"/>
  <c r="E305" i="38"/>
  <c r="B305" i="38"/>
  <c r="F304" i="38"/>
  <c r="E304" i="38"/>
  <c r="B304" i="38"/>
  <c r="F303" i="38"/>
  <c r="E303" i="38"/>
  <c r="B303" i="38"/>
  <c r="F302" i="38"/>
  <c r="E302" i="38"/>
  <c r="B302" i="38"/>
  <c r="F301" i="38"/>
  <c r="E301" i="38"/>
  <c r="B301" i="38"/>
  <c r="F297" i="38"/>
  <c r="E297" i="38"/>
  <c r="B297" i="38"/>
  <c r="F296" i="38"/>
  <c r="E296" i="38"/>
  <c r="B296" i="38"/>
  <c r="F295" i="38"/>
  <c r="E295" i="38"/>
  <c r="B295" i="38"/>
  <c r="F294" i="38"/>
  <c r="E294" i="38"/>
  <c r="B294" i="38"/>
  <c r="F293" i="38"/>
  <c r="E293" i="38"/>
  <c r="B293" i="38"/>
  <c r="M290" i="38"/>
  <c r="M289" i="38"/>
  <c r="E288" i="38"/>
  <c r="E289" i="38" s="1"/>
  <c r="C287" i="38"/>
  <c r="F280" i="38"/>
  <c r="E280" i="38"/>
  <c r="B280" i="38"/>
  <c r="F279" i="38"/>
  <c r="E279" i="38"/>
  <c r="B279" i="38"/>
  <c r="F278" i="38"/>
  <c r="E278" i="38"/>
  <c r="B278" i="38"/>
  <c r="F277" i="38"/>
  <c r="E277" i="38"/>
  <c r="B277" i="38"/>
  <c r="F276" i="38"/>
  <c r="E276" i="38"/>
  <c r="B276" i="38"/>
  <c r="F275" i="38"/>
  <c r="E275" i="38"/>
  <c r="B275" i="38"/>
  <c r="F274" i="38"/>
  <c r="E274" i="38"/>
  <c r="B274" i="38"/>
  <c r="F273" i="38"/>
  <c r="E273" i="38"/>
  <c r="B273" i="38"/>
  <c r="F269" i="38"/>
  <c r="E269" i="38"/>
  <c r="B269" i="38"/>
  <c r="F268" i="38"/>
  <c r="E268" i="38"/>
  <c r="B268" i="38"/>
  <c r="F267" i="38"/>
  <c r="E267" i="38"/>
  <c r="B267" i="38"/>
  <c r="F266" i="38"/>
  <c r="E266" i="38"/>
  <c r="B266" i="38"/>
  <c r="F265" i="38"/>
  <c r="E265" i="38"/>
  <c r="B265" i="38"/>
  <c r="M262" i="38"/>
  <c r="M261" i="38"/>
  <c r="E260" i="38"/>
  <c r="E261" i="38" s="1"/>
  <c r="C259" i="38"/>
  <c r="F252" i="38"/>
  <c r="E252" i="38"/>
  <c r="B252" i="38"/>
  <c r="F251" i="38"/>
  <c r="E251" i="38"/>
  <c r="B251" i="38"/>
  <c r="F250" i="38"/>
  <c r="E250" i="38"/>
  <c r="B250" i="38"/>
  <c r="F249" i="38"/>
  <c r="E249" i="38"/>
  <c r="B249" i="38"/>
  <c r="F248" i="38"/>
  <c r="E248" i="38"/>
  <c r="B248" i="38"/>
  <c r="F247" i="38"/>
  <c r="E247" i="38"/>
  <c r="B247" i="38"/>
  <c r="F246" i="38"/>
  <c r="E246" i="38"/>
  <c r="B246" i="38"/>
  <c r="F245" i="38"/>
  <c r="E245" i="38"/>
  <c r="B245" i="38"/>
  <c r="F241" i="38"/>
  <c r="E241" i="38"/>
  <c r="B241" i="38"/>
  <c r="F240" i="38"/>
  <c r="E240" i="38"/>
  <c r="B240" i="38"/>
  <c r="F239" i="38"/>
  <c r="E239" i="38"/>
  <c r="B239" i="38"/>
  <c r="F238" i="38"/>
  <c r="E238" i="38"/>
  <c r="B238" i="38"/>
  <c r="F237" i="38"/>
  <c r="E237" i="38"/>
  <c r="B237" i="38"/>
  <c r="M234" i="38"/>
  <c r="M233" i="38"/>
  <c r="E232" i="38"/>
  <c r="C231" i="38"/>
  <c r="F224" i="38"/>
  <c r="E224" i="38"/>
  <c r="B224" i="38"/>
  <c r="F223" i="38"/>
  <c r="E223" i="38"/>
  <c r="B223" i="38"/>
  <c r="F222" i="38"/>
  <c r="E222" i="38"/>
  <c r="B222" i="38"/>
  <c r="F221" i="38"/>
  <c r="E221" i="38"/>
  <c r="B221" i="38"/>
  <c r="F220" i="38"/>
  <c r="E220" i="38"/>
  <c r="B220" i="38"/>
  <c r="F219" i="38"/>
  <c r="E219" i="38"/>
  <c r="B219" i="38"/>
  <c r="F218" i="38"/>
  <c r="E218" i="38"/>
  <c r="B218" i="38"/>
  <c r="F217" i="38"/>
  <c r="E217" i="38"/>
  <c r="B217" i="38"/>
  <c r="F213" i="38"/>
  <c r="E213" i="38"/>
  <c r="B213" i="38"/>
  <c r="F212" i="38"/>
  <c r="E212" i="38"/>
  <c r="B212" i="38"/>
  <c r="F211" i="38"/>
  <c r="E211" i="38"/>
  <c r="B211" i="38"/>
  <c r="F210" i="38"/>
  <c r="E210" i="38"/>
  <c r="B210" i="38"/>
  <c r="F209" i="38"/>
  <c r="E209" i="38"/>
  <c r="B209" i="38"/>
  <c r="M206" i="38"/>
  <c r="M205" i="38"/>
  <c r="E204" i="38"/>
  <c r="E205" i="38" s="1"/>
  <c r="C203" i="38"/>
  <c r="F196" i="38"/>
  <c r="E196" i="38"/>
  <c r="B196" i="38"/>
  <c r="F195" i="38"/>
  <c r="E195" i="38"/>
  <c r="B195" i="38"/>
  <c r="F194" i="38"/>
  <c r="E194" i="38"/>
  <c r="B194" i="38"/>
  <c r="F193" i="38"/>
  <c r="E193" i="38"/>
  <c r="B193" i="38"/>
  <c r="F192" i="38"/>
  <c r="E192" i="38"/>
  <c r="B192" i="38"/>
  <c r="F191" i="38"/>
  <c r="E191" i="38"/>
  <c r="B191" i="38"/>
  <c r="F190" i="38"/>
  <c r="E190" i="38"/>
  <c r="B190" i="38"/>
  <c r="F189" i="38"/>
  <c r="E189" i="38"/>
  <c r="B189" i="38"/>
  <c r="F185" i="38"/>
  <c r="E185" i="38"/>
  <c r="B185" i="38"/>
  <c r="F184" i="38"/>
  <c r="E184" i="38"/>
  <c r="B184" i="38"/>
  <c r="F183" i="38"/>
  <c r="E183" i="38"/>
  <c r="B183" i="38"/>
  <c r="F182" i="38"/>
  <c r="E182" i="38"/>
  <c r="B182" i="38"/>
  <c r="F181" i="38"/>
  <c r="E181" i="38"/>
  <c r="B181" i="38"/>
  <c r="M178" i="38"/>
  <c r="M177" i="38"/>
  <c r="E176" i="38"/>
  <c r="C175" i="38"/>
  <c r="F168" i="38"/>
  <c r="E168" i="38"/>
  <c r="B168" i="38"/>
  <c r="F167" i="38"/>
  <c r="E167" i="38"/>
  <c r="B167" i="38"/>
  <c r="F166" i="38"/>
  <c r="E166" i="38"/>
  <c r="B166" i="38"/>
  <c r="F165" i="38"/>
  <c r="E165" i="38"/>
  <c r="B165" i="38"/>
  <c r="F164" i="38"/>
  <c r="E164" i="38"/>
  <c r="B164" i="38"/>
  <c r="F163" i="38"/>
  <c r="E163" i="38"/>
  <c r="B163" i="38"/>
  <c r="F162" i="38"/>
  <c r="E162" i="38"/>
  <c r="B162" i="38"/>
  <c r="F161" i="38"/>
  <c r="E161" i="38"/>
  <c r="B161" i="38"/>
  <c r="F157" i="38"/>
  <c r="E157" i="38"/>
  <c r="B157" i="38"/>
  <c r="F156" i="38"/>
  <c r="E156" i="38"/>
  <c r="B156" i="38"/>
  <c r="F155" i="38"/>
  <c r="E155" i="38"/>
  <c r="B155" i="38"/>
  <c r="F154" i="38"/>
  <c r="E154" i="38"/>
  <c r="B154" i="38"/>
  <c r="F153" i="38"/>
  <c r="E153" i="38"/>
  <c r="B153" i="38"/>
  <c r="M150" i="38"/>
  <c r="M149" i="38"/>
  <c r="E148" i="38"/>
  <c r="C147" i="38"/>
  <c r="M122" i="38"/>
  <c r="M121" i="38"/>
  <c r="M94" i="38"/>
  <c r="M93" i="38"/>
  <c r="M66" i="38"/>
  <c r="M65" i="38"/>
  <c r="M38" i="38"/>
  <c r="M37" i="38"/>
  <c r="C7" i="28"/>
  <c r="E8" i="28"/>
  <c r="E14" i="28"/>
  <c r="G14" i="28" s="1"/>
  <c r="F14" i="28"/>
  <c r="H14" i="28" s="1"/>
  <c r="E15" i="28"/>
  <c r="F15" i="28"/>
  <c r="G15" i="28"/>
  <c r="H15" i="28"/>
  <c r="I15" i="28" s="1"/>
  <c r="E16" i="28"/>
  <c r="F16" i="28"/>
  <c r="G16" i="28"/>
  <c r="H16" i="28"/>
  <c r="I16" i="28" s="1"/>
  <c r="B17" i="28"/>
  <c r="E17" i="28"/>
  <c r="F17" i="28"/>
  <c r="G17" i="28"/>
  <c r="H17" i="28"/>
  <c r="I17" i="28" s="1"/>
  <c r="E21" i="28"/>
  <c r="F21" i="28"/>
  <c r="E22" i="28"/>
  <c r="F22" i="28"/>
  <c r="E23" i="28"/>
  <c r="F23" i="28"/>
  <c r="E24" i="28"/>
  <c r="F24" i="28"/>
  <c r="E25" i="28"/>
  <c r="G25" i="28" s="1"/>
  <c r="F25" i="28"/>
  <c r="H25" i="28" s="1"/>
  <c r="I25" i="28" s="1"/>
  <c r="E26" i="28"/>
  <c r="G26" i="28" s="1"/>
  <c r="F26" i="28"/>
  <c r="H26" i="28" s="1"/>
  <c r="I26" i="28" s="1"/>
  <c r="E27" i="28"/>
  <c r="F27" i="28"/>
  <c r="G27" i="28"/>
  <c r="H27" i="28"/>
  <c r="I27" i="28" s="1"/>
  <c r="B28" i="28"/>
  <c r="E28" i="28"/>
  <c r="F28" i="28"/>
  <c r="G28" i="28"/>
  <c r="H28" i="28"/>
  <c r="I28" i="28" s="1"/>
  <c r="J56" i="16" l="1"/>
  <c r="J38" i="16"/>
  <c r="I241" i="39"/>
  <c r="I239" i="39"/>
  <c r="I353" i="39"/>
  <c r="I351" i="39"/>
  <c r="I184" i="39"/>
  <c r="I182" i="39"/>
  <c r="G23" i="28"/>
  <c r="G24" i="28"/>
  <c r="H24" i="28"/>
  <c r="I24" i="28" s="1"/>
  <c r="H23" i="28"/>
  <c r="I23" i="28" s="1"/>
  <c r="I212" i="39"/>
  <c r="I210" i="39"/>
  <c r="I240" i="39"/>
  <c r="I238" i="39"/>
  <c r="I296" i="39"/>
  <c r="I294" i="39"/>
  <c r="I324" i="39"/>
  <c r="I322" i="39"/>
  <c r="I352" i="39"/>
  <c r="I350" i="39"/>
  <c r="I209" i="39"/>
  <c r="I237" i="39"/>
  <c r="I321" i="39"/>
  <c r="I349" i="39"/>
  <c r="I364" i="38"/>
  <c r="I362" i="38"/>
  <c r="I360" i="38"/>
  <c r="I358" i="38"/>
  <c r="I181" i="38"/>
  <c r="I184" i="38"/>
  <c r="I182" i="38"/>
  <c r="I209" i="38"/>
  <c r="I212" i="38"/>
  <c r="I210" i="38"/>
  <c r="I237" i="38"/>
  <c r="I240" i="38"/>
  <c r="I238" i="38"/>
  <c r="I293" i="38"/>
  <c r="I296" i="38"/>
  <c r="I294" i="38"/>
  <c r="I321" i="38"/>
  <c r="I324" i="38"/>
  <c r="I322" i="38"/>
  <c r="I349" i="38"/>
  <c r="I352" i="38"/>
  <c r="I350" i="38"/>
  <c r="G181" i="5"/>
  <c r="H21" i="28"/>
  <c r="J40" i="16"/>
  <c r="E345" i="38"/>
  <c r="I40" i="16" s="1"/>
  <c r="K40" i="16" s="1"/>
  <c r="I153" i="38"/>
  <c r="I154" i="38"/>
  <c r="I268" i="38"/>
  <c r="I268" i="39"/>
  <c r="I266" i="39"/>
  <c r="I377" i="38"/>
  <c r="I378" i="38"/>
  <c r="I378" i="39"/>
  <c r="J34" i="16"/>
  <c r="E177" i="38"/>
  <c r="J58" i="16"/>
  <c r="E373" i="39"/>
  <c r="I157" i="38"/>
  <c r="I155" i="38"/>
  <c r="I157" i="39"/>
  <c r="I185" i="38"/>
  <c r="I183" i="38"/>
  <c r="I185" i="39"/>
  <c r="I183" i="39"/>
  <c r="I213" i="38"/>
  <c r="I211" i="38"/>
  <c r="I213" i="39"/>
  <c r="I211" i="39"/>
  <c r="I241" i="38"/>
  <c r="I239" i="38"/>
  <c r="I269" i="38"/>
  <c r="I267" i="38"/>
  <c r="I269" i="39"/>
  <c r="I267" i="39"/>
  <c r="I297" i="38"/>
  <c r="I295" i="38"/>
  <c r="I297" i="39"/>
  <c r="I295" i="39"/>
  <c r="I325" i="38"/>
  <c r="I323" i="38"/>
  <c r="I325" i="39"/>
  <c r="I323" i="39"/>
  <c r="I353" i="38"/>
  <c r="I351" i="38"/>
  <c r="I363" i="38"/>
  <c r="I361" i="38"/>
  <c r="I359" i="38"/>
  <c r="I381" i="38"/>
  <c r="I379" i="38"/>
  <c r="I381" i="39"/>
  <c r="I379" i="39"/>
  <c r="J57" i="16"/>
  <c r="J36" i="16"/>
  <c r="E233" i="38"/>
  <c r="J51" i="16"/>
  <c r="E177" i="39"/>
  <c r="J54" i="16"/>
  <c r="E261" i="39"/>
  <c r="I156" i="38"/>
  <c r="I156" i="39"/>
  <c r="I154" i="39"/>
  <c r="I265" i="38"/>
  <c r="I266" i="38"/>
  <c r="I380" i="38"/>
  <c r="I380" i="39"/>
  <c r="G192" i="5"/>
  <c r="J39" i="16"/>
  <c r="E317" i="38"/>
  <c r="I153" i="39"/>
  <c r="I181" i="39"/>
  <c r="I265" i="39"/>
  <c r="I293" i="39"/>
  <c r="I377" i="39"/>
  <c r="H173" i="5"/>
  <c r="I173" i="5" s="1"/>
  <c r="M181" i="5" s="1"/>
  <c r="H184" i="5"/>
  <c r="I184" i="5" s="1"/>
  <c r="I192" i="5" s="1"/>
  <c r="K192" i="5" s="1"/>
  <c r="J33" i="16"/>
  <c r="E149" i="38"/>
  <c r="J41" i="16"/>
  <c r="E373" i="38"/>
  <c r="J53" i="16"/>
  <c r="E233" i="39"/>
  <c r="I357" i="38"/>
  <c r="J37" i="16"/>
  <c r="F181" i="5"/>
  <c r="J181" i="5" s="1"/>
  <c r="F192" i="5"/>
  <c r="J192" i="5" s="1"/>
  <c r="I14" i="28"/>
  <c r="J167" i="44"/>
  <c r="E41" i="16" s="1"/>
  <c r="H167" i="44"/>
  <c r="G167" i="44"/>
  <c r="G158" i="39"/>
  <c r="G158" i="38"/>
  <c r="G357" i="39"/>
  <c r="G363" i="39"/>
  <c r="G361" i="39"/>
  <c r="G359" i="39"/>
  <c r="I57" i="16"/>
  <c r="H363" i="39"/>
  <c r="I363" i="39" s="1"/>
  <c r="H361" i="39"/>
  <c r="I361" i="39" s="1"/>
  <c r="H359" i="39"/>
  <c r="I359" i="39" s="1"/>
  <c r="H364" i="39"/>
  <c r="I364" i="39" s="1"/>
  <c r="H362" i="39"/>
  <c r="I362" i="39" s="1"/>
  <c r="H360" i="39"/>
  <c r="I360" i="39" s="1"/>
  <c r="H358" i="39"/>
  <c r="I358" i="39" s="1"/>
  <c r="H357" i="39"/>
  <c r="I357" i="39" s="1"/>
  <c r="G364" i="39"/>
  <c r="G362" i="39"/>
  <c r="G360" i="39"/>
  <c r="H334" i="39"/>
  <c r="I334" i="39" s="1"/>
  <c r="H332" i="39"/>
  <c r="I332" i="39" s="1"/>
  <c r="I56" i="16"/>
  <c r="K56" i="16" s="1"/>
  <c r="G336" i="39"/>
  <c r="G332" i="39"/>
  <c r="G329" i="39"/>
  <c r="H335" i="39"/>
  <c r="I335" i="39" s="1"/>
  <c r="H333" i="39"/>
  <c r="I333" i="39" s="1"/>
  <c r="H331" i="39"/>
  <c r="I331" i="39" s="1"/>
  <c r="H336" i="39"/>
  <c r="I336" i="39" s="1"/>
  <c r="H330" i="39"/>
  <c r="I330" i="39" s="1"/>
  <c r="G334" i="39"/>
  <c r="G330" i="39"/>
  <c r="H329" i="39"/>
  <c r="I329" i="39" s="1"/>
  <c r="G335" i="39"/>
  <c r="G333" i="39"/>
  <c r="I55" i="16"/>
  <c r="H302" i="39"/>
  <c r="I302" i="39" s="1"/>
  <c r="H304" i="39"/>
  <c r="I304" i="39" s="1"/>
  <c r="H306" i="39"/>
  <c r="I306" i="39" s="1"/>
  <c r="H308" i="39"/>
  <c r="I308" i="39" s="1"/>
  <c r="H305" i="39"/>
  <c r="I305" i="39" s="1"/>
  <c r="H307" i="39"/>
  <c r="I307" i="39" s="1"/>
  <c r="G302" i="39"/>
  <c r="G306" i="39"/>
  <c r="G303" i="39"/>
  <c r="G305" i="39"/>
  <c r="G307" i="39"/>
  <c r="H301" i="39"/>
  <c r="I301" i="39" s="1"/>
  <c r="H303" i="39"/>
  <c r="I303" i="39" s="1"/>
  <c r="G301" i="39"/>
  <c r="G304" i="39"/>
  <c r="G308" i="39"/>
  <c r="J55" i="16"/>
  <c r="H222" i="39"/>
  <c r="I222" i="39" s="1"/>
  <c r="H218" i="39"/>
  <c r="I218" i="39" s="1"/>
  <c r="G224" i="39"/>
  <c r="G218" i="39"/>
  <c r="G217" i="39"/>
  <c r="H223" i="39"/>
  <c r="I223" i="39" s="1"/>
  <c r="H221" i="39"/>
  <c r="I221" i="39" s="1"/>
  <c r="H219" i="39"/>
  <c r="I219" i="39" s="1"/>
  <c r="H224" i="39"/>
  <c r="I224" i="39" s="1"/>
  <c r="H220" i="39"/>
  <c r="I220" i="39" s="1"/>
  <c r="I52" i="16"/>
  <c r="K52" i="16" s="1"/>
  <c r="G222" i="39"/>
  <c r="G220" i="39"/>
  <c r="H217" i="39"/>
  <c r="I217" i="39" s="1"/>
  <c r="G223" i="39"/>
  <c r="G221" i="39"/>
  <c r="H158" i="39"/>
  <c r="I155" i="39"/>
  <c r="H158" i="38"/>
  <c r="G211" i="28"/>
  <c r="H212" i="28"/>
  <c r="G194" i="28"/>
  <c r="H195" i="28"/>
  <c r="G196" i="28"/>
  <c r="G184" i="28"/>
  <c r="H185" i="28"/>
  <c r="H165" i="28"/>
  <c r="G166" i="28"/>
  <c r="G168" i="28"/>
  <c r="G155" i="28"/>
  <c r="G156" i="28"/>
  <c r="H157" i="28"/>
  <c r="G138" i="28"/>
  <c r="H139" i="28"/>
  <c r="M66" i="28"/>
  <c r="M178" i="28"/>
  <c r="M206" i="28"/>
  <c r="M234" i="28"/>
  <c r="M262" i="28"/>
  <c r="M290" i="28"/>
  <c r="M318" i="28"/>
  <c r="M346" i="28"/>
  <c r="M374" i="28"/>
  <c r="M373" i="28"/>
  <c r="M345" i="28"/>
  <c r="M317" i="28"/>
  <c r="M289" i="28"/>
  <c r="M261" i="28"/>
  <c r="M233" i="28"/>
  <c r="M205" i="28"/>
  <c r="M177" i="28"/>
  <c r="F392" i="28"/>
  <c r="H392" i="28" s="1"/>
  <c r="E392" i="28"/>
  <c r="G392" i="28" s="1"/>
  <c r="B392" i="28"/>
  <c r="F391" i="28"/>
  <c r="H391" i="28" s="1"/>
  <c r="E391" i="28"/>
  <c r="G391" i="28" s="1"/>
  <c r="B391" i="28"/>
  <c r="F390" i="28"/>
  <c r="H390" i="28" s="1"/>
  <c r="E390" i="28"/>
  <c r="G390" i="28" s="1"/>
  <c r="B390" i="28"/>
  <c r="F389" i="28"/>
  <c r="H389" i="28" s="1"/>
  <c r="I389" i="28" s="1"/>
  <c r="E389" i="28"/>
  <c r="G389" i="28" s="1"/>
  <c r="B389" i="28"/>
  <c r="F388" i="28"/>
  <c r="H388" i="28" s="1"/>
  <c r="E388" i="28"/>
  <c r="G388" i="28" s="1"/>
  <c r="B388" i="28"/>
  <c r="F387" i="28"/>
  <c r="H387" i="28" s="1"/>
  <c r="E387" i="28"/>
  <c r="G387" i="28" s="1"/>
  <c r="B387" i="28"/>
  <c r="F386" i="28"/>
  <c r="H386" i="28" s="1"/>
  <c r="E386" i="28"/>
  <c r="G386" i="28" s="1"/>
  <c r="B386" i="28"/>
  <c r="F385" i="28"/>
  <c r="H385" i="28" s="1"/>
  <c r="I385" i="28" s="1"/>
  <c r="E385" i="28"/>
  <c r="G385" i="28" s="1"/>
  <c r="B385" i="28"/>
  <c r="F381" i="28"/>
  <c r="H381" i="28" s="1"/>
  <c r="E381" i="28"/>
  <c r="G381" i="28" s="1"/>
  <c r="B381" i="28"/>
  <c r="F380" i="28"/>
  <c r="H380" i="28" s="1"/>
  <c r="E380" i="28"/>
  <c r="G380" i="28" s="1"/>
  <c r="B380" i="28"/>
  <c r="F379" i="28"/>
  <c r="H379" i="28" s="1"/>
  <c r="E379" i="28"/>
  <c r="G379" i="28" s="1"/>
  <c r="B379" i="28"/>
  <c r="F378" i="28"/>
  <c r="H378" i="28" s="1"/>
  <c r="E378" i="28"/>
  <c r="G378" i="28" s="1"/>
  <c r="B378" i="28"/>
  <c r="F377" i="28"/>
  <c r="H377" i="28" s="1"/>
  <c r="E377" i="28"/>
  <c r="B377" i="28"/>
  <c r="E372" i="28"/>
  <c r="C371" i="28"/>
  <c r="F364" i="28"/>
  <c r="H364" i="28" s="1"/>
  <c r="E364" i="28"/>
  <c r="G364" i="28" s="1"/>
  <c r="B364" i="28"/>
  <c r="F363" i="28"/>
  <c r="H363" i="28" s="1"/>
  <c r="I363" i="28" s="1"/>
  <c r="E363" i="28"/>
  <c r="G363" i="28" s="1"/>
  <c r="B363" i="28"/>
  <c r="F362" i="28"/>
  <c r="H362" i="28" s="1"/>
  <c r="E362" i="28"/>
  <c r="G362" i="28" s="1"/>
  <c r="B362" i="28"/>
  <c r="F361" i="28"/>
  <c r="H361" i="28" s="1"/>
  <c r="E361" i="28"/>
  <c r="G361" i="28" s="1"/>
  <c r="B361" i="28"/>
  <c r="F360" i="28"/>
  <c r="H360" i="28" s="1"/>
  <c r="E360" i="28"/>
  <c r="G360" i="28" s="1"/>
  <c r="B360" i="28"/>
  <c r="F359" i="28"/>
  <c r="H359" i="28" s="1"/>
  <c r="I359" i="28" s="1"/>
  <c r="E359" i="28"/>
  <c r="G359" i="28" s="1"/>
  <c r="B359" i="28"/>
  <c r="F358" i="28"/>
  <c r="H358" i="28" s="1"/>
  <c r="E358" i="28"/>
  <c r="G358" i="28" s="1"/>
  <c r="B358" i="28"/>
  <c r="F357" i="28"/>
  <c r="H357" i="28" s="1"/>
  <c r="E357" i="28"/>
  <c r="G357" i="28" s="1"/>
  <c r="B357" i="28"/>
  <c r="F353" i="28"/>
  <c r="H353" i="28" s="1"/>
  <c r="E353" i="28"/>
  <c r="G353" i="28" s="1"/>
  <c r="B353" i="28"/>
  <c r="F352" i="28"/>
  <c r="H352" i="28" s="1"/>
  <c r="E352" i="28"/>
  <c r="G352" i="28" s="1"/>
  <c r="B352" i="28"/>
  <c r="F351" i="28"/>
  <c r="H351" i="28" s="1"/>
  <c r="E351" i="28"/>
  <c r="G351" i="28" s="1"/>
  <c r="B351" i="28"/>
  <c r="F350" i="28"/>
  <c r="H350" i="28" s="1"/>
  <c r="E350" i="28"/>
  <c r="G350" i="28" s="1"/>
  <c r="B350" i="28"/>
  <c r="F349" i="28"/>
  <c r="E349" i="28"/>
  <c r="E344" i="28"/>
  <c r="C343" i="28"/>
  <c r="F336" i="28"/>
  <c r="H336" i="28" s="1"/>
  <c r="E336" i="28"/>
  <c r="G336" i="28" s="1"/>
  <c r="B336" i="28"/>
  <c r="F335" i="28"/>
  <c r="H335" i="28" s="1"/>
  <c r="E335" i="28"/>
  <c r="G335" i="28" s="1"/>
  <c r="B335" i="28"/>
  <c r="F334" i="28"/>
  <c r="H334" i="28" s="1"/>
  <c r="E334" i="28"/>
  <c r="G334" i="28" s="1"/>
  <c r="B334" i="28"/>
  <c r="F333" i="28"/>
  <c r="H333" i="28" s="1"/>
  <c r="E333" i="28"/>
  <c r="G333" i="28" s="1"/>
  <c r="B333" i="28"/>
  <c r="F332" i="28"/>
  <c r="H332" i="28" s="1"/>
  <c r="E332" i="28"/>
  <c r="G332" i="28" s="1"/>
  <c r="B332" i="28"/>
  <c r="F331" i="28"/>
  <c r="H331" i="28" s="1"/>
  <c r="E331" i="28"/>
  <c r="G331" i="28" s="1"/>
  <c r="B331" i="28"/>
  <c r="F330" i="28"/>
  <c r="H330" i="28" s="1"/>
  <c r="E330" i="28"/>
  <c r="G330" i="28" s="1"/>
  <c r="F329" i="28"/>
  <c r="H329" i="28" s="1"/>
  <c r="E329" i="28"/>
  <c r="G329" i="28" s="1"/>
  <c r="F325" i="28"/>
  <c r="H325" i="28" s="1"/>
  <c r="E325" i="28"/>
  <c r="G325" i="28" s="1"/>
  <c r="B325" i="28"/>
  <c r="F324" i="28"/>
  <c r="H324" i="28" s="1"/>
  <c r="E324" i="28"/>
  <c r="G324" i="28" s="1"/>
  <c r="B324" i="28"/>
  <c r="F323" i="28"/>
  <c r="H323" i="28" s="1"/>
  <c r="I323" i="28" s="1"/>
  <c r="E323" i="28"/>
  <c r="G323" i="28" s="1"/>
  <c r="B323" i="28"/>
  <c r="F322" i="28"/>
  <c r="E322" i="28"/>
  <c r="F321" i="28"/>
  <c r="E321" i="28"/>
  <c r="E316" i="28"/>
  <c r="C315" i="28"/>
  <c r="F308" i="28"/>
  <c r="H308" i="28" s="1"/>
  <c r="E308" i="28"/>
  <c r="G308" i="28" s="1"/>
  <c r="B308" i="28"/>
  <c r="F307" i="28"/>
  <c r="H307" i="28" s="1"/>
  <c r="I307" i="28" s="1"/>
  <c r="E307" i="28"/>
  <c r="G307" i="28" s="1"/>
  <c r="B307" i="28"/>
  <c r="F306" i="28"/>
  <c r="H306" i="28" s="1"/>
  <c r="E306" i="28"/>
  <c r="G306" i="28" s="1"/>
  <c r="B306" i="28"/>
  <c r="F305" i="28"/>
  <c r="H305" i="28" s="1"/>
  <c r="E305" i="28"/>
  <c r="G305" i="28" s="1"/>
  <c r="F304" i="28"/>
  <c r="H304" i="28" s="1"/>
  <c r="E304" i="28"/>
  <c r="G304" i="28" s="1"/>
  <c r="F303" i="28"/>
  <c r="H303" i="28" s="1"/>
  <c r="I303" i="28" s="1"/>
  <c r="E303" i="28"/>
  <c r="G303" i="28" s="1"/>
  <c r="F302" i="28"/>
  <c r="H302" i="28" s="1"/>
  <c r="E302" i="28"/>
  <c r="G302" i="28" s="1"/>
  <c r="F301" i="28"/>
  <c r="H301" i="28" s="1"/>
  <c r="E301" i="28"/>
  <c r="G301" i="28" s="1"/>
  <c r="F297" i="28"/>
  <c r="H297" i="28" s="1"/>
  <c r="E297" i="28"/>
  <c r="G297" i="28" s="1"/>
  <c r="B297" i="28"/>
  <c r="F296" i="28"/>
  <c r="H296" i="28" s="1"/>
  <c r="E296" i="28"/>
  <c r="G296" i="28" s="1"/>
  <c r="B296" i="28"/>
  <c r="F295" i="28"/>
  <c r="H295" i="28" s="1"/>
  <c r="I295" i="28" s="1"/>
  <c r="E295" i="28"/>
  <c r="G295" i="28" s="1"/>
  <c r="B295" i="28"/>
  <c r="F294" i="28"/>
  <c r="H294" i="28" s="1"/>
  <c r="E294" i="28"/>
  <c r="G294" i="28" s="1"/>
  <c r="F293" i="28"/>
  <c r="E293" i="28"/>
  <c r="F280" i="28"/>
  <c r="H280" i="28" s="1"/>
  <c r="E280" i="28"/>
  <c r="G280" i="28" s="1"/>
  <c r="B280" i="28"/>
  <c r="F279" i="28"/>
  <c r="H279" i="28" s="1"/>
  <c r="E279" i="28"/>
  <c r="G279" i="28" s="1"/>
  <c r="B279" i="28"/>
  <c r="F278" i="28"/>
  <c r="H278" i="28" s="1"/>
  <c r="I278" i="28" s="1"/>
  <c r="E278" i="28"/>
  <c r="G278" i="28" s="1"/>
  <c r="B278" i="28"/>
  <c r="F277" i="28"/>
  <c r="H277" i="28" s="1"/>
  <c r="E277" i="28"/>
  <c r="G277" i="28" s="1"/>
  <c r="B277" i="28"/>
  <c r="F276" i="28"/>
  <c r="H276" i="28" s="1"/>
  <c r="E276" i="28"/>
  <c r="G276" i="28" s="1"/>
  <c r="B276" i="28"/>
  <c r="F275" i="28"/>
  <c r="H275" i="28" s="1"/>
  <c r="E275" i="28"/>
  <c r="G275" i="28" s="1"/>
  <c r="B275" i="28"/>
  <c r="F274" i="28"/>
  <c r="H274" i="28" s="1"/>
  <c r="I274" i="28" s="1"/>
  <c r="E274" i="28"/>
  <c r="G274" i="28" s="1"/>
  <c r="B274" i="28"/>
  <c r="F273" i="28"/>
  <c r="H273" i="28" s="1"/>
  <c r="E273" i="28"/>
  <c r="G273" i="28" s="1"/>
  <c r="B273" i="28"/>
  <c r="F269" i="28"/>
  <c r="H269" i="28" s="1"/>
  <c r="E269" i="28"/>
  <c r="G269" i="28" s="1"/>
  <c r="B269" i="28"/>
  <c r="F268" i="28"/>
  <c r="H268" i="28" s="1"/>
  <c r="E268" i="28"/>
  <c r="G268" i="28" s="1"/>
  <c r="B268" i="28"/>
  <c r="F267" i="28"/>
  <c r="E267" i="28"/>
  <c r="B267" i="28"/>
  <c r="F266" i="28"/>
  <c r="E266" i="28"/>
  <c r="B266" i="28"/>
  <c r="F265" i="28"/>
  <c r="E265" i="28"/>
  <c r="E260" i="28"/>
  <c r="C259" i="28"/>
  <c r="F252" i="28"/>
  <c r="H252" i="28" s="1"/>
  <c r="E252" i="28"/>
  <c r="G252" i="28" s="1"/>
  <c r="B252" i="28"/>
  <c r="F251" i="28"/>
  <c r="H251" i="28" s="1"/>
  <c r="I251" i="28" s="1"/>
  <c r="E251" i="28"/>
  <c r="G251" i="28" s="1"/>
  <c r="B251" i="28"/>
  <c r="F250" i="28"/>
  <c r="H250" i="28" s="1"/>
  <c r="E250" i="28"/>
  <c r="G250" i="28" s="1"/>
  <c r="B250" i="28"/>
  <c r="F249" i="28"/>
  <c r="H249" i="28" s="1"/>
  <c r="E249" i="28"/>
  <c r="G249" i="28" s="1"/>
  <c r="B249" i="28"/>
  <c r="F248" i="28"/>
  <c r="H248" i="28" s="1"/>
  <c r="E248" i="28"/>
  <c r="G248" i="28" s="1"/>
  <c r="B248" i="28"/>
  <c r="E232" i="28"/>
  <c r="J19" i="16" s="1"/>
  <c r="C231" i="28"/>
  <c r="F224" i="28"/>
  <c r="H224" i="28" s="1"/>
  <c r="E224" i="28"/>
  <c r="G224" i="28" s="1"/>
  <c r="B224" i="28"/>
  <c r="F223" i="28"/>
  <c r="H223" i="28" s="1"/>
  <c r="E223" i="28"/>
  <c r="G223" i="28" s="1"/>
  <c r="B223" i="28"/>
  <c r="F222" i="28"/>
  <c r="H222" i="28" s="1"/>
  <c r="E222" i="28"/>
  <c r="G222" i="28" s="1"/>
  <c r="B222" i="28"/>
  <c r="F221" i="28"/>
  <c r="H221" i="28" s="1"/>
  <c r="E221" i="28"/>
  <c r="G221" i="28" s="1"/>
  <c r="B221" i="28"/>
  <c r="F220" i="28"/>
  <c r="H220" i="28" s="1"/>
  <c r="E220" i="28"/>
  <c r="G220" i="28" s="1"/>
  <c r="B220" i="28"/>
  <c r="F219" i="28"/>
  <c r="H219" i="28" s="1"/>
  <c r="E219" i="28"/>
  <c r="G219" i="28" s="1"/>
  <c r="B219" i="28"/>
  <c r="F218" i="28"/>
  <c r="H218" i="28" s="1"/>
  <c r="E218" i="28"/>
  <c r="G218" i="28" s="1"/>
  <c r="B218" i="28"/>
  <c r="F217" i="28"/>
  <c r="H217" i="28" s="1"/>
  <c r="E217" i="28"/>
  <c r="G217" i="28" s="1"/>
  <c r="B217" i="28"/>
  <c r="F213" i="28"/>
  <c r="H213" i="28" s="1"/>
  <c r="E213" i="28"/>
  <c r="G213" i="28" s="1"/>
  <c r="B213" i="28"/>
  <c r="F212" i="28"/>
  <c r="E212" i="28"/>
  <c r="G212" i="28" s="1"/>
  <c r="B212" i="28"/>
  <c r="F211" i="28"/>
  <c r="H211" i="28" s="1"/>
  <c r="I211" i="28" s="1"/>
  <c r="E211" i="28"/>
  <c r="B211" i="28"/>
  <c r="F210" i="28"/>
  <c r="H210" i="28" s="1"/>
  <c r="E210" i="28"/>
  <c r="G210" i="28" s="1"/>
  <c r="B210" i="28"/>
  <c r="F209" i="28"/>
  <c r="E209" i="28"/>
  <c r="E204" i="28"/>
  <c r="C203" i="28"/>
  <c r="F196" i="28"/>
  <c r="H196" i="28" s="1"/>
  <c r="E196" i="28"/>
  <c r="B196" i="28"/>
  <c r="F195" i="28"/>
  <c r="E195" i="28"/>
  <c r="G195" i="28" s="1"/>
  <c r="B195" i="28"/>
  <c r="F194" i="28"/>
  <c r="H194" i="28" s="1"/>
  <c r="E194" i="28"/>
  <c r="B194" i="28"/>
  <c r="F193" i="28"/>
  <c r="H193" i="28" s="1"/>
  <c r="E193" i="28"/>
  <c r="G193" i="28" s="1"/>
  <c r="B193" i="28"/>
  <c r="F192" i="28"/>
  <c r="E192" i="28"/>
  <c r="B192" i="28"/>
  <c r="F191" i="28"/>
  <c r="E191" i="28"/>
  <c r="B191" i="28"/>
  <c r="F190" i="28"/>
  <c r="E190" i="28"/>
  <c r="B190" i="28"/>
  <c r="F189" i="28"/>
  <c r="E189" i="28"/>
  <c r="B189" i="28"/>
  <c r="F185" i="28"/>
  <c r="E185" i="28"/>
  <c r="G185" i="28" s="1"/>
  <c r="B185" i="28"/>
  <c r="F184" i="28"/>
  <c r="H184" i="28" s="1"/>
  <c r="E184" i="28"/>
  <c r="B184" i="28"/>
  <c r="F183" i="28"/>
  <c r="H183" i="28" s="1"/>
  <c r="I183" i="28" s="1"/>
  <c r="E183" i="28"/>
  <c r="G183" i="28" s="1"/>
  <c r="B183" i="28"/>
  <c r="F182" i="28"/>
  <c r="E182" i="28"/>
  <c r="F181" i="28"/>
  <c r="E181" i="28"/>
  <c r="E176" i="28"/>
  <c r="C175" i="28"/>
  <c r="F168" i="28"/>
  <c r="H168" i="28" s="1"/>
  <c r="E168" i="28"/>
  <c r="B168" i="28"/>
  <c r="F167" i="28"/>
  <c r="H167" i="28" s="1"/>
  <c r="E167" i="28"/>
  <c r="G167" i="28" s="1"/>
  <c r="B167" i="28"/>
  <c r="F166" i="28"/>
  <c r="H166" i="28" s="1"/>
  <c r="I166" i="28" s="1"/>
  <c r="E166" i="28"/>
  <c r="B166" i="28"/>
  <c r="F165" i="28"/>
  <c r="E165" i="28"/>
  <c r="G165" i="28" s="1"/>
  <c r="B165" i="28"/>
  <c r="F164" i="28"/>
  <c r="E164" i="28"/>
  <c r="F163" i="28"/>
  <c r="E163" i="28"/>
  <c r="F162" i="28"/>
  <c r="E162" i="28"/>
  <c r="F161" i="28"/>
  <c r="E161" i="28"/>
  <c r="F157" i="28"/>
  <c r="E157" i="28"/>
  <c r="G157" i="28" s="1"/>
  <c r="F156" i="28"/>
  <c r="H156" i="28" s="1"/>
  <c r="E156" i="28"/>
  <c r="F155" i="28"/>
  <c r="H155" i="28" s="1"/>
  <c r="I155" i="28" s="1"/>
  <c r="E155" i="28"/>
  <c r="F154" i="28"/>
  <c r="H154" i="28" s="1"/>
  <c r="E154" i="28"/>
  <c r="G154" i="28" s="1"/>
  <c r="F153" i="28"/>
  <c r="E153" i="28"/>
  <c r="C147" i="28"/>
  <c r="F140" i="28"/>
  <c r="H140" i="28" s="1"/>
  <c r="E140" i="28"/>
  <c r="G140" i="28" s="1"/>
  <c r="B140" i="28"/>
  <c r="F139" i="28"/>
  <c r="E139" i="28"/>
  <c r="G139" i="28" s="1"/>
  <c r="F138" i="28"/>
  <c r="H138" i="28" s="1"/>
  <c r="E138" i="28"/>
  <c r="F137" i="28"/>
  <c r="E137" i="28"/>
  <c r="F136" i="28"/>
  <c r="E136" i="28"/>
  <c r="F135" i="28"/>
  <c r="E135" i="28"/>
  <c r="F134" i="28"/>
  <c r="E134" i="28"/>
  <c r="F133" i="28"/>
  <c r="E133" i="28"/>
  <c r="F129" i="28"/>
  <c r="H129" i="28" s="1"/>
  <c r="E129" i="28"/>
  <c r="G129" i="28" s="1"/>
  <c r="F128" i="28"/>
  <c r="H128" i="28" s="1"/>
  <c r="I128" i="28" s="1"/>
  <c r="E128" i="28"/>
  <c r="G128" i="28" s="1"/>
  <c r="F127" i="28"/>
  <c r="H127" i="28" s="1"/>
  <c r="I127" i="28" s="1"/>
  <c r="E127" i="28"/>
  <c r="G127" i="28" s="1"/>
  <c r="F126" i="28"/>
  <c r="H126" i="28" s="1"/>
  <c r="E126" i="28"/>
  <c r="G126" i="28" s="1"/>
  <c r="F125" i="28"/>
  <c r="E125" i="28"/>
  <c r="E120" i="28"/>
  <c r="C119" i="28"/>
  <c r="M65" i="28"/>
  <c r="H322" i="28" l="1"/>
  <c r="G322" i="28"/>
  <c r="I181" i="5"/>
  <c r="K181" i="5" s="1"/>
  <c r="F23" i="16" s="1"/>
  <c r="G266" i="28"/>
  <c r="H266" i="28"/>
  <c r="G267" i="28"/>
  <c r="H267" i="28"/>
  <c r="G189" i="28"/>
  <c r="H189" i="28"/>
  <c r="G190" i="28"/>
  <c r="H190" i="28"/>
  <c r="I190" i="28" s="1"/>
  <c r="G191" i="28"/>
  <c r="H191" i="28"/>
  <c r="G192" i="28"/>
  <c r="H192" i="28"/>
  <c r="G182" i="28"/>
  <c r="H182" i="28"/>
  <c r="I351" i="28"/>
  <c r="H209" i="28"/>
  <c r="I218" i="28"/>
  <c r="I222" i="28"/>
  <c r="I267" i="28"/>
  <c r="I330" i="28"/>
  <c r="I217" i="28"/>
  <c r="I221" i="28"/>
  <c r="I273" i="28"/>
  <c r="I277" i="28"/>
  <c r="I329" i="28"/>
  <c r="I333" i="28"/>
  <c r="I379" i="28"/>
  <c r="K55" i="16"/>
  <c r="K57" i="16"/>
  <c r="G161" i="28"/>
  <c r="G162" i="28"/>
  <c r="G164" i="28"/>
  <c r="H164" i="28"/>
  <c r="I164" i="28" s="1"/>
  <c r="H162" i="28"/>
  <c r="I162" i="28" s="1"/>
  <c r="G163" i="28"/>
  <c r="H161" i="28"/>
  <c r="I161" i="28" s="1"/>
  <c r="H163" i="28"/>
  <c r="I163" i="28" s="1"/>
  <c r="H181" i="5"/>
  <c r="L192" i="5"/>
  <c r="L181" i="5"/>
  <c r="G153" i="28"/>
  <c r="G158" i="28" s="1"/>
  <c r="J158" i="28" s="1"/>
  <c r="I21" i="28"/>
  <c r="H13" i="28"/>
  <c r="I11" i="16"/>
  <c r="G21" i="28"/>
  <c r="G13" i="28"/>
  <c r="G18" i="28" s="1"/>
  <c r="J18" i="28" s="1"/>
  <c r="H22" i="28"/>
  <c r="I22" i="28" s="1"/>
  <c r="G22" i="28"/>
  <c r="I352" i="28"/>
  <c r="M192" i="5"/>
  <c r="I17" i="16"/>
  <c r="I21" i="16"/>
  <c r="J21" i="16"/>
  <c r="H192" i="5"/>
  <c r="I22" i="16"/>
  <c r="J22" i="16"/>
  <c r="I15" i="16"/>
  <c r="I19" i="16"/>
  <c r="I23" i="16"/>
  <c r="J23" i="16"/>
  <c r="I16" i="16"/>
  <c r="I20" i="16"/>
  <c r="E373" i="28"/>
  <c r="I24" i="16" s="1"/>
  <c r="J24" i="16"/>
  <c r="E24" i="16"/>
  <c r="G41" i="16"/>
  <c r="F24" i="16"/>
  <c r="E23" i="16"/>
  <c r="H387" i="39"/>
  <c r="I387" i="39" s="1"/>
  <c r="H389" i="39"/>
  <c r="I389" i="39" s="1"/>
  <c r="H391" i="39"/>
  <c r="I391" i="39" s="1"/>
  <c r="G385" i="39"/>
  <c r="H388" i="39"/>
  <c r="I388" i="39" s="1"/>
  <c r="H392" i="39"/>
  <c r="I392" i="39" s="1"/>
  <c r="G389" i="39"/>
  <c r="H385" i="39"/>
  <c r="I385" i="39" s="1"/>
  <c r="I58" i="16"/>
  <c r="K58" i="16" s="1"/>
  <c r="G386" i="39"/>
  <c r="G388" i="39"/>
  <c r="G390" i="39"/>
  <c r="G392" i="39"/>
  <c r="H386" i="39"/>
  <c r="I386" i="39" s="1"/>
  <c r="H390" i="39"/>
  <c r="I390" i="39" s="1"/>
  <c r="G387" i="39"/>
  <c r="G391" i="39"/>
  <c r="G274" i="39"/>
  <c r="G276" i="39"/>
  <c r="G278" i="39"/>
  <c r="G280" i="39"/>
  <c r="I54" i="16"/>
  <c r="K54" i="16" s="1"/>
  <c r="H274" i="39"/>
  <c r="I274" i="39" s="1"/>
  <c r="H276" i="39"/>
  <c r="I276" i="39" s="1"/>
  <c r="H278" i="39"/>
  <c r="I278" i="39" s="1"/>
  <c r="H280" i="39"/>
  <c r="I280" i="39" s="1"/>
  <c r="H277" i="39"/>
  <c r="I277" i="39" s="1"/>
  <c r="H279" i="39"/>
  <c r="I279" i="39" s="1"/>
  <c r="G275" i="39"/>
  <c r="G277" i="39"/>
  <c r="G279" i="39"/>
  <c r="H273" i="39"/>
  <c r="I273" i="39" s="1"/>
  <c r="H275" i="39"/>
  <c r="I275" i="39" s="1"/>
  <c r="G273" i="39"/>
  <c r="H246" i="39"/>
  <c r="I246" i="39" s="1"/>
  <c r="H248" i="39"/>
  <c r="I248" i="39" s="1"/>
  <c r="H250" i="39"/>
  <c r="I250" i="39" s="1"/>
  <c r="H252" i="39"/>
  <c r="I252" i="39" s="1"/>
  <c r="G247" i="39"/>
  <c r="G249" i="39"/>
  <c r="G251" i="39"/>
  <c r="H245" i="39"/>
  <c r="I245" i="39" s="1"/>
  <c r="I53" i="16"/>
  <c r="K53" i="16" s="1"/>
  <c r="H247" i="39"/>
  <c r="I247" i="39" s="1"/>
  <c r="H249" i="39"/>
  <c r="I249" i="39" s="1"/>
  <c r="H251" i="39"/>
  <c r="I251" i="39" s="1"/>
  <c r="G245" i="39"/>
  <c r="G246" i="39"/>
  <c r="G248" i="39"/>
  <c r="G250" i="39"/>
  <c r="G252" i="39"/>
  <c r="I51" i="16"/>
  <c r="K51" i="16" s="1"/>
  <c r="H190" i="39"/>
  <c r="I190" i="39" s="1"/>
  <c r="H192" i="39"/>
  <c r="I192" i="39" s="1"/>
  <c r="H194" i="39"/>
  <c r="I194" i="39" s="1"/>
  <c r="H196" i="39"/>
  <c r="I196" i="39" s="1"/>
  <c r="G191" i="39"/>
  <c r="G193" i="39"/>
  <c r="G195" i="39"/>
  <c r="H189" i="39"/>
  <c r="I189" i="39" s="1"/>
  <c r="G192" i="39"/>
  <c r="G196" i="39"/>
  <c r="H191" i="39"/>
  <c r="I191" i="39" s="1"/>
  <c r="H193" i="39"/>
  <c r="I193" i="39" s="1"/>
  <c r="H195" i="39"/>
  <c r="I195" i="39" s="1"/>
  <c r="G189" i="39"/>
  <c r="G190" i="39"/>
  <c r="G194" i="39"/>
  <c r="H330" i="38"/>
  <c r="I330" i="38" s="1"/>
  <c r="H332" i="38"/>
  <c r="I332" i="38" s="1"/>
  <c r="H334" i="38"/>
  <c r="I334" i="38" s="1"/>
  <c r="H336" i="38"/>
  <c r="I336" i="38" s="1"/>
  <c r="G329" i="38"/>
  <c r="H333" i="38"/>
  <c r="I333" i="38" s="1"/>
  <c r="H329" i="38"/>
  <c r="I329" i="38" s="1"/>
  <c r="G330" i="38"/>
  <c r="G334" i="38"/>
  <c r="I39" i="16"/>
  <c r="K39" i="16" s="1"/>
  <c r="G331" i="38"/>
  <c r="G333" i="38"/>
  <c r="G335" i="38"/>
  <c r="H331" i="38"/>
  <c r="I331" i="38" s="1"/>
  <c r="H335" i="38"/>
  <c r="I335" i="38" s="1"/>
  <c r="G332" i="38"/>
  <c r="G336" i="38"/>
  <c r="H302" i="38"/>
  <c r="I302" i="38" s="1"/>
  <c r="H304" i="38"/>
  <c r="I304" i="38" s="1"/>
  <c r="H306" i="38"/>
  <c r="I306" i="38" s="1"/>
  <c r="H308" i="38"/>
  <c r="I308" i="38" s="1"/>
  <c r="G301" i="38"/>
  <c r="G303" i="38"/>
  <c r="G305" i="38"/>
  <c r="G307" i="38"/>
  <c r="I38" i="16"/>
  <c r="K38" i="16" s="1"/>
  <c r="H303" i="38"/>
  <c r="I303" i="38" s="1"/>
  <c r="H305" i="38"/>
  <c r="I305" i="38" s="1"/>
  <c r="H307" i="38"/>
  <c r="I307" i="38" s="1"/>
  <c r="H301" i="38"/>
  <c r="I301" i="38" s="1"/>
  <c r="G302" i="38"/>
  <c r="G304" i="38"/>
  <c r="G306" i="38"/>
  <c r="G308" i="38"/>
  <c r="I36" i="16"/>
  <c r="K36" i="16" s="1"/>
  <c r="G246" i="38"/>
  <c r="G248" i="38"/>
  <c r="G250" i="38"/>
  <c r="G252" i="38"/>
  <c r="G247" i="38"/>
  <c r="G251" i="38"/>
  <c r="H249" i="38"/>
  <c r="I249" i="38" s="1"/>
  <c r="H245" i="38"/>
  <c r="I245" i="38" s="1"/>
  <c r="H246" i="38"/>
  <c r="I246" i="38" s="1"/>
  <c r="H248" i="38"/>
  <c r="I248" i="38" s="1"/>
  <c r="H250" i="38"/>
  <c r="I250" i="38" s="1"/>
  <c r="H252" i="38"/>
  <c r="I252" i="38" s="1"/>
  <c r="G245" i="38"/>
  <c r="G249" i="38"/>
  <c r="H247" i="38"/>
  <c r="I247" i="38" s="1"/>
  <c r="H251" i="38"/>
  <c r="I251" i="38" s="1"/>
  <c r="G218" i="38"/>
  <c r="G220" i="38"/>
  <c r="G222" i="38"/>
  <c r="G224" i="38"/>
  <c r="G219" i="38"/>
  <c r="G223" i="38"/>
  <c r="H221" i="38"/>
  <c r="I221" i="38" s="1"/>
  <c r="H217" i="38"/>
  <c r="I217" i="38" s="1"/>
  <c r="I35" i="16"/>
  <c r="K35" i="16" s="1"/>
  <c r="H218" i="38"/>
  <c r="I218" i="38" s="1"/>
  <c r="H220" i="38"/>
  <c r="I220" i="38" s="1"/>
  <c r="H222" i="38"/>
  <c r="I222" i="38" s="1"/>
  <c r="H224" i="38"/>
  <c r="I224" i="38" s="1"/>
  <c r="G217" i="38"/>
  <c r="G221" i="38"/>
  <c r="H219" i="38"/>
  <c r="I219" i="38" s="1"/>
  <c r="H223" i="38"/>
  <c r="I223" i="38" s="1"/>
  <c r="H190" i="38"/>
  <c r="I190" i="38" s="1"/>
  <c r="H192" i="38"/>
  <c r="I192" i="38" s="1"/>
  <c r="H194" i="38"/>
  <c r="I194" i="38" s="1"/>
  <c r="H196" i="38"/>
  <c r="I196" i="38" s="1"/>
  <c r="G189" i="38"/>
  <c r="H191" i="38"/>
  <c r="I191" i="38" s="1"/>
  <c r="H195" i="38"/>
  <c r="I195" i="38" s="1"/>
  <c r="G190" i="38"/>
  <c r="G194" i="38"/>
  <c r="G191" i="38"/>
  <c r="G193" i="38"/>
  <c r="G195" i="38"/>
  <c r="I34" i="16"/>
  <c r="K34" i="16" s="1"/>
  <c r="H193" i="38"/>
  <c r="I193" i="38" s="1"/>
  <c r="H189" i="38"/>
  <c r="I189" i="38" s="1"/>
  <c r="G192" i="38"/>
  <c r="G196" i="38"/>
  <c r="G163" i="38"/>
  <c r="G165" i="38"/>
  <c r="G167" i="38"/>
  <c r="H161" i="38"/>
  <c r="I161" i="38" s="1"/>
  <c r="H163" i="38"/>
  <c r="I163" i="38" s="1"/>
  <c r="H165" i="38"/>
  <c r="I165" i="38" s="1"/>
  <c r="H167" i="38"/>
  <c r="I167" i="38" s="1"/>
  <c r="G161" i="38"/>
  <c r="G162" i="38"/>
  <c r="G164" i="38"/>
  <c r="G166" i="38"/>
  <c r="G168" i="38"/>
  <c r="I33" i="16"/>
  <c r="K33" i="16" s="1"/>
  <c r="H162" i="38"/>
  <c r="I162" i="38" s="1"/>
  <c r="H164" i="38"/>
  <c r="I164" i="38" s="1"/>
  <c r="H166" i="38"/>
  <c r="I166" i="38" s="1"/>
  <c r="H168" i="38"/>
  <c r="I168" i="38" s="1"/>
  <c r="I250" i="28"/>
  <c r="I220" i="28"/>
  <c r="I224" i="28"/>
  <c r="I249" i="28"/>
  <c r="I332" i="28"/>
  <c r="I336" i="28"/>
  <c r="I357" i="28"/>
  <c r="I361" i="28"/>
  <c r="I386" i="28"/>
  <c r="I390" i="28"/>
  <c r="I138" i="28"/>
  <c r="I358" i="28"/>
  <c r="I362" i="28"/>
  <c r="I129" i="28"/>
  <c r="I140" i="28"/>
  <c r="I219" i="28"/>
  <c r="I223" i="28"/>
  <c r="I248" i="28"/>
  <c r="I252" i="28"/>
  <c r="I324" i="28"/>
  <c r="I331" i="28"/>
  <c r="I335" i="28"/>
  <c r="I353" i="28"/>
  <c r="I360" i="28"/>
  <c r="I364" i="28"/>
  <c r="I154" i="28"/>
  <c r="I266" i="28"/>
  <c r="I378" i="28"/>
  <c r="I269" i="28"/>
  <c r="I377" i="28"/>
  <c r="I381" i="28"/>
  <c r="I156" i="28"/>
  <c r="I268" i="28"/>
  <c r="I380" i="28"/>
  <c r="I157" i="28"/>
  <c r="I165" i="28"/>
  <c r="I191" i="28"/>
  <c r="I194" i="28"/>
  <c r="I302" i="28"/>
  <c r="I306" i="28"/>
  <c r="I195" i="28"/>
  <c r="I168" i="28"/>
  <c r="I193" i="28"/>
  <c r="I276" i="28"/>
  <c r="I280" i="28"/>
  <c r="I301" i="28"/>
  <c r="I305" i="28"/>
  <c r="I334" i="28"/>
  <c r="I388" i="28"/>
  <c r="I392" i="28"/>
  <c r="I139" i="28"/>
  <c r="I167" i="28"/>
  <c r="I192" i="28"/>
  <c r="I196" i="28"/>
  <c r="I275" i="28"/>
  <c r="I279" i="28"/>
  <c r="I304" i="28"/>
  <c r="I308" i="28"/>
  <c r="I387" i="28"/>
  <c r="I391" i="28"/>
  <c r="I185" i="28"/>
  <c r="I294" i="28"/>
  <c r="I184" i="28"/>
  <c r="I213" i="28"/>
  <c r="I296" i="28"/>
  <c r="I325" i="28"/>
  <c r="I350" i="28"/>
  <c r="I126" i="28"/>
  <c r="I182" i="28"/>
  <c r="I212" i="28"/>
  <c r="I210" i="28"/>
  <c r="I297" i="28"/>
  <c r="I322" i="28"/>
  <c r="G377" i="28"/>
  <c r="G382" i="28" s="1"/>
  <c r="J382" i="28" s="1"/>
  <c r="G393" i="28"/>
  <c r="J393" i="28" s="1"/>
  <c r="H382" i="28"/>
  <c r="H393" i="28"/>
  <c r="G365" i="28"/>
  <c r="J365" i="28" s="1"/>
  <c r="H365" i="28"/>
  <c r="G337" i="28"/>
  <c r="J337" i="28" s="1"/>
  <c r="H337" i="28"/>
  <c r="H309" i="28"/>
  <c r="G309" i="28"/>
  <c r="J309" i="28" s="1"/>
  <c r="G281" i="28"/>
  <c r="J281" i="28" s="1"/>
  <c r="H281" i="28"/>
  <c r="G253" i="28"/>
  <c r="J253" i="28" s="1"/>
  <c r="H253" i="28"/>
  <c r="H225" i="28"/>
  <c r="G225" i="28"/>
  <c r="J225" i="28" s="1"/>
  <c r="B34" i="14"/>
  <c r="B35" i="14"/>
  <c r="B37" i="14"/>
  <c r="B38" i="14"/>
  <c r="B39" i="14"/>
  <c r="B25" i="14"/>
  <c r="B92" i="14"/>
  <c r="B93" i="14"/>
  <c r="B30" i="49"/>
  <c r="B31" i="49"/>
  <c r="B32" i="49"/>
  <c r="B33" i="49"/>
  <c r="B26" i="49"/>
  <c r="E79" i="14"/>
  <c r="F79" i="14"/>
  <c r="E80" i="14"/>
  <c r="F80" i="14"/>
  <c r="E81" i="14"/>
  <c r="F81" i="14"/>
  <c r="E82" i="14"/>
  <c r="F82" i="14"/>
  <c r="E83" i="14"/>
  <c r="F83" i="14"/>
  <c r="E84" i="14"/>
  <c r="F84" i="14"/>
  <c r="E85" i="14"/>
  <c r="E86" i="14"/>
  <c r="F86" i="14"/>
  <c r="E87" i="14"/>
  <c r="F87" i="14"/>
  <c r="E88" i="14"/>
  <c r="F88" i="14"/>
  <c r="E89" i="14"/>
  <c r="F89" i="14"/>
  <c r="E90" i="14"/>
  <c r="F90" i="14"/>
  <c r="E91" i="14"/>
  <c r="F91" i="14"/>
  <c r="E92" i="14"/>
  <c r="F92" i="14"/>
  <c r="E93" i="14"/>
  <c r="F93" i="14"/>
  <c r="F78" i="14"/>
  <c r="E78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33" i="49"/>
  <c r="E33" i="49"/>
  <c r="G33" i="49" s="1"/>
  <c r="F32" i="49"/>
  <c r="E32" i="49"/>
  <c r="F31" i="49"/>
  <c r="E31" i="49"/>
  <c r="F30" i="49"/>
  <c r="H30" i="49" s="1"/>
  <c r="E30" i="49"/>
  <c r="G30" i="49" s="1"/>
  <c r="F29" i="49"/>
  <c r="F28" i="49"/>
  <c r="H28" i="49" s="1"/>
  <c r="F27" i="49"/>
  <c r="F26" i="49"/>
  <c r="E26" i="49"/>
  <c r="F168" i="39"/>
  <c r="E168" i="39"/>
  <c r="F167" i="39"/>
  <c r="E167" i="39"/>
  <c r="F166" i="39"/>
  <c r="E166" i="39"/>
  <c r="F165" i="39"/>
  <c r="E165" i="39"/>
  <c r="F164" i="39"/>
  <c r="E164" i="39"/>
  <c r="F163" i="39"/>
  <c r="E163" i="39"/>
  <c r="F162" i="39"/>
  <c r="E162" i="39"/>
  <c r="F161" i="39"/>
  <c r="E161" i="39"/>
  <c r="F140" i="39"/>
  <c r="E140" i="39"/>
  <c r="F139" i="39"/>
  <c r="E139" i="39"/>
  <c r="F138" i="39"/>
  <c r="E138" i="39"/>
  <c r="F137" i="39"/>
  <c r="E137" i="39"/>
  <c r="F136" i="39"/>
  <c r="E136" i="39"/>
  <c r="F135" i="39"/>
  <c r="E135" i="39"/>
  <c r="F134" i="39"/>
  <c r="E134" i="39"/>
  <c r="F133" i="39"/>
  <c r="E133" i="39"/>
  <c r="F112" i="39"/>
  <c r="E112" i="39"/>
  <c r="F111" i="39"/>
  <c r="E111" i="39"/>
  <c r="F110" i="39"/>
  <c r="E110" i="39"/>
  <c r="F109" i="39"/>
  <c r="E109" i="39"/>
  <c r="F108" i="39"/>
  <c r="E108" i="39"/>
  <c r="F107" i="39"/>
  <c r="E107" i="39"/>
  <c r="F106" i="39"/>
  <c r="E106" i="39"/>
  <c r="F105" i="39"/>
  <c r="E105" i="39"/>
  <c r="F84" i="39"/>
  <c r="E84" i="39"/>
  <c r="F83" i="39"/>
  <c r="E83" i="39"/>
  <c r="F82" i="39"/>
  <c r="E82" i="39"/>
  <c r="F81" i="39"/>
  <c r="E81" i="39"/>
  <c r="F80" i="39"/>
  <c r="E80" i="39"/>
  <c r="F79" i="39"/>
  <c r="E79" i="39"/>
  <c r="F78" i="39"/>
  <c r="E78" i="39"/>
  <c r="F77" i="39"/>
  <c r="E77" i="39"/>
  <c r="F56" i="39"/>
  <c r="E56" i="39"/>
  <c r="F55" i="39"/>
  <c r="E55" i="39"/>
  <c r="F54" i="39"/>
  <c r="E54" i="39"/>
  <c r="F53" i="39"/>
  <c r="E53" i="39"/>
  <c r="F52" i="39"/>
  <c r="E52" i="39"/>
  <c r="F51" i="39"/>
  <c r="E51" i="39"/>
  <c r="F50" i="39"/>
  <c r="E50" i="39"/>
  <c r="F49" i="39"/>
  <c r="E49" i="39"/>
  <c r="F140" i="38"/>
  <c r="E140" i="38"/>
  <c r="F139" i="38"/>
  <c r="E139" i="38"/>
  <c r="F138" i="38"/>
  <c r="E138" i="38"/>
  <c r="F137" i="38"/>
  <c r="E137" i="38"/>
  <c r="F136" i="38"/>
  <c r="E136" i="38"/>
  <c r="F135" i="38"/>
  <c r="E135" i="38"/>
  <c r="F134" i="38"/>
  <c r="E134" i="38"/>
  <c r="F133" i="38"/>
  <c r="E133" i="38"/>
  <c r="F112" i="38"/>
  <c r="E112" i="38"/>
  <c r="F111" i="38"/>
  <c r="E111" i="38"/>
  <c r="F110" i="38"/>
  <c r="E110" i="38"/>
  <c r="F109" i="38"/>
  <c r="E109" i="38"/>
  <c r="F108" i="38"/>
  <c r="E108" i="38"/>
  <c r="F107" i="38"/>
  <c r="E107" i="38"/>
  <c r="F106" i="38"/>
  <c r="E106" i="38"/>
  <c r="F105" i="38"/>
  <c r="E105" i="38"/>
  <c r="F84" i="38"/>
  <c r="E84" i="38"/>
  <c r="F83" i="38"/>
  <c r="E83" i="38"/>
  <c r="F82" i="38"/>
  <c r="E82" i="38"/>
  <c r="F81" i="38"/>
  <c r="E81" i="38"/>
  <c r="F80" i="38"/>
  <c r="E80" i="38"/>
  <c r="F79" i="38"/>
  <c r="E79" i="38"/>
  <c r="F78" i="38"/>
  <c r="E78" i="38"/>
  <c r="F77" i="38"/>
  <c r="E77" i="38"/>
  <c r="F56" i="38"/>
  <c r="E56" i="38"/>
  <c r="F55" i="38"/>
  <c r="E55" i="38"/>
  <c r="F54" i="38"/>
  <c r="E54" i="38"/>
  <c r="F53" i="38"/>
  <c r="E53" i="38"/>
  <c r="F52" i="38"/>
  <c r="E52" i="38"/>
  <c r="F51" i="38"/>
  <c r="E51" i="38"/>
  <c r="F50" i="38"/>
  <c r="E50" i="38"/>
  <c r="F49" i="38"/>
  <c r="E49" i="38"/>
  <c r="F28" i="38"/>
  <c r="E28" i="38"/>
  <c r="F27" i="38"/>
  <c r="E27" i="38"/>
  <c r="F26" i="38"/>
  <c r="E26" i="38"/>
  <c r="F25" i="38"/>
  <c r="E25" i="38"/>
  <c r="F24" i="38"/>
  <c r="E24" i="38"/>
  <c r="F23" i="38"/>
  <c r="E23" i="38"/>
  <c r="F22" i="38"/>
  <c r="E22" i="38"/>
  <c r="F21" i="38"/>
  <c r="E21" i="38"/>
  <c r="F112" i="28"/>
  <c r="E112" i="28"/>
  <c r="F111" i="28"/>
  <c r="E111" i="28"/>
  <c r="F110" i="28"/>
  <c r="E110" i="28"/>
  <c r="F109" i="28"/>
  <c r="E109" i="28"/>
  <c r="F108" i="28"/>
  <c r="E108" i="28"/>
  <c r="F107" i="28"/>
  <c r="E107" i="28"/>
  <c r="F106" i="28"/>
  <c r="E106" i="28"/>
  <c r="F105" i="28"/>
  <c r="E105" i="28"/>
  <c r="F84" i="28"/>
  <c r="E84" i="28"/>
  <c r="F83" i="28"/>
  <c r="E83" i="28"/>
  <c r="F82" i="28"/>
  <c r="E82" i="28"/>
  <c r="F81" i="28"/>
  <c r="E81" i="28"/>
  <c r="F80" i="28"/>
  <c r="E80" i="28"/>
  <c r="F79" i="28"/>
  <c r="E79" i="28"/>
  <c r="F78" i="28"/>
  <c r="E78" i="28"/>
  <c r="F77" i="28"/>
  <c r="E77" i="28"/>
  <c r="F56" i="28"/>
  <c r="E56" i="28"/>
  <c r="F55" i="28"/>
  <c r="E55" i="28"/>
  <c r="F54" i="28"/>
  <c r="E54" i="28"/>
  <c r="F53" i="28"/>
  <c r="E53" i="28"/>
  <c r="F52" i="28"/>
  <c r="E52" i="28"/>
  <c r="F51" i="28"/>
  <c r="E51" i="28"/>
  <c r="F50" i="28"/>
  <c r="E50" i="28"/>
  <c r="F49" i="28"/>
  <c r="E49" i="28"/>
  <c r="B168" i="39"/>
  <c r="B167" i="39"/>
  <c r="B166" i="39"/>
  <c r="B165" i="39"/>
  <c r="B164" i="39"/>
  <c r="B163" i="39"/>
  <c r="B162" i="39"/>
  <c r="B161" i="39"/>
  <c r="B140" i="39"/>
  <c r="B139" i="39"/>
  <c r="B138" i="39"/>
  <c r="B137" i="39"/>
  <c r="B136" i="39"/>
  <c r="B135" i="39"/>
  <c r="B134" i="39"/>
  <c r="B133" i="39"/>
  <c r="B112" i="39"/>
  <c r="B111" i="39"/>
  <c r="B110" i="39"/>
  <c r="B109" i="39"/>
  <c r="B108" i="39"/>
  <c r="B107" i="39"/>
  <c r="B106" i="39"/>
  <c r="B105" i="39"/>
  <c r="B84" i="39"/>
  <c r="B83" i="39"/>
  <c r="B82" i="39"/>
  <c r="B81" i="39"/>
  <c r="B80" i="39"/>
  <c r="B79" i="39"/>
  <c r="B78" i="39"/>
  <c r="B77" i="39"/>
  <c r="B56" i="39"/>
  <c r="B55" i="39"/>
  <c r="B54" i="39"/>
  <c r="B53" i="39"/>
  <c r="B52" i="39"/>
  <c r="B51" i="39"/>
  <c r="B50" i="39"/>
  <c r="B49" i="39"/>
  <c r="B140" i="38"/>
  <c r="B139" i="38"/>
  <c r="B138" i="38"/>
  <c r="B137" i="38"/>
  <c r="B136" i="38"/>
  <c r="B135" i="38"/>
  <c r="B134" i="38"/>
  <c r="B133" i="38"/>
  <c r="B112" i="38"/>
  <c r="B111" i="38"/>
  <c r="B110" i="38"/>
  <c r="B109" i="38"/>
  <c r="B108" i="38"/>
  <c r="B107" i="38"/>
  <c r="B106" i="38"/>
  <c r="B105" i="38"/>
  <c r="B84" i="38"/>
  <c r="B83" i="38"/>
  <c r="B82" i="38"/>
  <c r="B81" i="38"/>
  <c r="B80" i="38"/>
  <c r="B79" i="38"/>
  <c r="B78" i="38"/>
  <c r="B77" i="38"/>
  <c r="B56" i="38"/>
  <c r="B55" i="38"/>
  <c r="B54" i="38"/>
  <c r="B53" i="38"/>
  <c r="B52" i="38"/>
  <c r="B51" i="38"/>
  <c r="B50" i="38"/>
  <c r="B49" i="38"/>
  <c r="B28" i="38"/>
  <c r="B27" i="38"/>
  <c r="B26" i="38"/>
  <c r="B25" i="38"/>
  <c r="B24" i="38"/>
  <c r="B23" i="38"/>
  <c r="B22" i="38"/>
  <c r="B21" i="38"/>
  <c r="B112" i="28"/>
  <c r="B111" i="28"/>
  <c r="B110" i="28"/>
  <c r="B84" i="28"/>
  <c r="B83" i="28"/>
  <c r="B82" i="28"/>
  <c r="B56" i="28"/>
  <c r="A32" i="46"/>
  <c r="B32" i="46" s="1"/>
  <c r="A33" i="46"/>
  <c r="B33" i="46" s="1"/>
  <c r="A34" i="46"/>
  <c r="B34" i="46" s="1"/>
  <c r="A35" i="46"/>
  <c r="B35" i="46" s="1"/>
  <c r="A36" i="46"/>
  <c r="B36" i="46" s="1"/>
  <c r="A37" i="46"/>
  <c r="B37" i="46" s="1"/>
  <c r="A38" i="46"/>
  <c r="B38" i="46" s="1"/>
  <c r="A39" i="46"/>
  <c r="B39" i="46" s="1"/>
  <c r="A40" i="46"/>
  <c r="B40" i="46" s="1"/>
  <c r="A41" i="46"/>
  <c r="B41" i="46" s="1"/>
  <c r="A42" i="46"/>
  <c r="B42" i="46" s="1"/>
  <c r="A43" i="46"/>
  <c r="B43" i="46" s="1"/>
  <c r="A44" i="46"/>
  <c r="B44" i="46" s="1"/>
  <c r="A45" i="46"/>
  <c r="B45" i="46" s="1"/>
  <c r="A46" i="46"/>
  <c r="B46" i="46" s="1"/>
  <c r="A47" i="46"/>
  <c r="B47" i="46" s="1"/>
  <c r="A48" i="46"/>
  <c r="B48" i="46" s="1"/>
  <c r="A49" i="46"/>
  <c r="B49" i="46" s="1"/>
  <c r="A50" i="46"/>
  <c r="B50" i="46" s="1"/>
  <c r="A51" i="46"/>
  <c r="B51" i="46" s="1"/>
  <c r="A52" i="46"/>
  <c r="B52" i="46" s="1"/>
  <c r="A53" i="46"/>
  <c r="B53" i="46" s="1"/>
  <c r="A54" i="46"/>
  <c r="B54" i="46" s="1"/>
  <c r="A55" i="46"/>
  <c r="B55" i="46" s="1"/>
  <c r="A56" i="46"/>
  <c r="B56" i="46" s="1"/>
  <c r="A57" i="46"/>
  <c r="A58" i="46"/>
  <c r="B58" i="46" s="1"/>
  <c r="A59" i="46"/>
  <c r="B59" i="46" s="1"/>
  <c r="A60" i="46"/>
  <c r="B60" i="46" s="1"/>
  <c r="A61" i="46"/>
  <c r="B61" i="46" s="1"/>
  <c r="A62" i="46"/>
  <c r="B62" i="46" s="1"/>
  <c r="A63" i="46"/>
  <c r="B63" i="46" s="1"/>
  <c r="A64" i="46"/>
  <c r="B64" i="46" s="1"/>
  <c r="A65" i="46"/>
  <c r="B65" i="46" s="1"/>
  <c r="A66" i="46"/>
  <c r="B66" i="46" s="1"/>
  <c r="A67" i="46"/>
  <c r="B67" i="46" s="1"/>
  <c r="A68" i="46"/>
  <c r="B68" i="46" s="1"/>
  <c r="A69" i="46"/>
  <c r="B69" i="46" s="1"/>
  <c r="A70" i="46"/>
  <c r="B70" i="46" s="1"/>
  <c r="A71" i="46"/>
  <c r="B71" i="46" s="1"/>
  <c r="A72" i="46"/>
  <c r="B72" i="46" s="1"/>
  <c r="A73" i="46"/>
  <c r="B73" i="46" s="1"/>
  <c r="A74" i="46"/>
  <c r="B74" i="46" s="1"/>
  <c r="A75" i="46"/>
  <c r="B75" i="46" s="1"/>
  <c r="A76" i="46"/>
  <c r="B76" i="46" s="1"/>
  <c r="A77" i="46"/>
  <c r="B77" i="46" s="1"/>
  <c r="A78" i="46"/>
  <c r="B78" i="46" s="1"/>
  <c r="A79" i="46"/>
  <c r="B79" i="46" s="1"/>
  <c r="A80" i="46"/>
  <c r="B80" i="46" s="1"/>
  <c r="A81" i="46"/>
  <c r="B81" i="46" s="1"/>
  <c r="A82" i="46"/>
  <c r="B82" i="46" s="1"/>
  <c r="A83" i="46"/>
  <c r="B83" i="46" s="1"/>
  <c r="A84" i="46"/>
  <c r="B84" i="46" s="1"/>
  <c r="A85" i="46"/>
  <c r="B85" i="46" s="1"/>
  <c r="A86" i="46"/>
  <c r="B86" i="46" s="1"/>
  <c r="A87" i="46"/>
  <c r="B87" i="46" s="1"/>
  <c r="A88" i="46"/>
  <c r="B88" i="46" s="1"/>
  <c r="A89" i="46"/>
  <c r="B89" i="46" s="1"/>
  <c r="A90" i="46"/>
  <c r="B90" i="46" s="1"/>
  <c r="A91" i="46"/>
  <c r="B91" i="46" s="1"/>
  <c r="A92" i="46"/>
  <c r="B92" i="46" s="1"/>
  <c r="A93" i="46"/>
  <c r="B93" i="46" s="1"/>
  <c r="A94" i="46"/>
  <c r="B94" i="46" s="1"/>
  <c r="A95" i="46"/>
  <c r="B95" i="46" s="1"/>
  <c r="A96" i="46"/>
  <c r="B96" i="46" s="1"/>
  <c r="A97" i="46"/>
  <c r="B97" i="46" s="1"/>
  <c r="A98" i="46"/>
  <c r="B98" i="46" s="1"/>
  <c r="A99" i="46"/>
  <c r="B99" i="46" s="1"/>
  <c r="A100" i="46"/>
  <c r="B100" i="46" s="1"/>
  <c r="A101" i="46"/>
  <c r="B101" i="46" s="1"/>
  <c r="A102" i="46"/>
  <c r="B102" i="46" s="1"/>
  <c r="A103" i="46"/>
  <c r="B103" i="46" s="1"/>
  <c r="A104" i="46"/>
  <c r="B104" i="46" s="1"/>
  <c r="A105" i="46"/>
  <c r="B105" i="46" s="1"/>
  <c r="A106" i="46"/>
  <c r="B106" i="46" s="1"/>
  <c r="A107" i="46"/>
  <c r="B107" i="46" s="1"/>
  <c r="A108" i="46"/>
  <c r="B108" i="46" s="1"/>
  <c r="A109" i="46"/>
  <c r="B109" i="46" s="1"/>
  <c r="A110" i="46"/>
  <c r="B110" i="46" s="1"/>
  <c r="A111" i="46"/>
  <c r="B111" i="46" s="1"/>
  <c r="A112" i="46"/>
  <c r="B112" i="46" s="1"/>
  <c r="A113" i="46"/>
  <c r="B113" i="46" s="1"/>
  <c r="A114" i="46"/>
  <c r="B114" i="46" s="1"/>
  <c r="A115" i="46"/>
  <c r="B115" i="46" s="1"/>
  <c r="A116" i="46"/>
  <c r="B116" i="46" s="1"/>
  <c r="A117" i="46"/>
  <c r="B117" i="46" s="1"/>
  <c r="A118" i="46"/>
  <c r="B118" i="46" s="1"/>
  <c r="A119" i="46"/>
  <c r="B119" i="46" s="1"/>
  <c r="A120" i="46"/>
  <c r="B120" i="46" s="1"/>
  <c r="A121" i="46"/>
  <c r="B121" i="46" s="1"/>
  <c r="A122" i="46"/>
  <c r="B122" i="46" s="1"/>
  <c r="A123" i="46"/>
  <c r="A124" i="46"/>
  <c r="A125" i="46"/>
  <c r="A126" i="46"/>
  <c r="A127" i="46"/>
  <c r="B127" i="46" s="1"/>
  <c r="A128" i="46"/>
  <c r="B128" i="46" s="1"/>
  <c r="A129" i="46"/>
  <c r="B129" i="46" s="1"/>
  <c r="A130" i="46"/>
  <c r="B130" i="46" s="1"/>
  <c r="A131" i="46"/>
  <c r="B131" i="46" s="1"/>
  <c r="A132" i="46"/>
  <c r="B132" i="46" s="1"/>
  <c r="A133" i="46"/>
  <c r="B133" i="46" s="1"/>
  <c r="A134" i="46"/>
  <c r="B134" i="46" s="1"/>
  <c r="A135" i="46"/>
  <c r="B135" i="46" s="1"/>
  <c r="A31" i="46"/>
  <c r="B31" i="46" s="1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7" i="46"/>
  <c r="B7" i="46" s="1"/>
  <c r="F85" i="14"/>
  <c r="K8" i="16"/>
  <c r="H33" i="49"/>
  <c r="H32" i="49"/>
  <c r="G32" i="49"/>
  <c r="H31" i="49"/>
  <c r="I31" i="49" s="1"/>
  <c r="G31" i="49"/>
  <c r="H29" i="49"/>
  <c r="G29" i="49"/>
  <c r="G28" i="49"/>
  <c r="F22" i="49"/>
  <c r="H22" i="49" s="1"/>
  <c r="E22" i="49"/>
  <c r="G22" i="49" s="1"/>
  <c r="B22" i="49"/>
  <c r="H21" i="49"/>
  <c r="G21" i="49"/>
  <c r="F21" i="49"/>
  <c r="E21" i="49"/>
  <c r="B21" i="49"/>
  <c r="H20" i="49"/>
  <c r="G20" i="49"/>
  <c r="F20" i="49"/>
  <c r="E20" i="49"/>
  <c r="B20" i="49"/>
  <c r="H19" i="49"/>
  <c r="G19" i="49"/>
  <c r="F19" i="49"/>
  <c r="E19" i="49"/>
  <c r="B19" i="49"/>
  <c r="H18" i="49"/>
  <c r="I18" i="49" s="1"/>
  <c r="G18" i="49"/>
  <c r="F18" i="49"/>
  <c r="E18" i="49"/>
  <c r="B18" i="49"/>
  <c r="F17" i="49"/>
  <c r="E17" i="49"/>
  <c r="B17" i="49"/>
  <c r="H16" i="49"/>
  <c r="I16" i="49" s="1"/>
  <c r="G16" i="49"/>
  <c r="F16" i="49"/>
  <c r="E16" i="49"/>
  <c r="B16" i="49"/>
  <c r="F15" i="49"/>
  <c r="E15" i="49"/>
  <c r="B15" i="49"/>
  <c r="F14" i="49"/>
  <c r="E14" i="49"/>
  <c r="B14" i="49"/>
  <c r="F13" i="49"/>
  <c r="E13" i="49"/>
  <c r="B13" i="49"/>
  <c r="F12" i="49"/>
  <c r="E12" i="49"/>
  <c r="B12" i="49"/>
  <c r="F11" i="49"/>
  <c r="E11" i="49"/>
  <c r="B11" i="49"/>
  <c r="E6" i="49"/>
  <c r="J7" i="16" s="1"/>
  <c r="J8" i="16" s="1"/>
  <c r="C5" i="49"/>
  <c r="H197" i="28" l="1"/>
  <c r="G197" i="28"/>
  <c r="J197" i="28" s="1"/>
  <c r="I189" i="28"/>
  <c r="M196" i="28" s="1"/>
  <c r="I209" i="28"/>
  <c r="I214" i="28" s="1"/>
  <c r="K214" i="28" s="1"/>
  <c r="H214" i="28"/>
  <c r="G209" i="28"/>
  <c r="G214" i="28" s="1"/>
  <c r="J214" i="28" s="1"/>
  <c r="J226" i="28" s="1"/>
  <c r="C18" i="16" s="1"/>
  <c r="I18" i="16"/>
  <c r="K18" i="16" s="1"/>
  <c r="H169" i="28"/>
  <c r="G169" i="28"/>
  <c r="J169" i="28" s="1"/>
  <c r="J170" i="28" s="1"/>
  <c r="C16" i="16" s="1"/>
  <c r="K23" i="16"/>
  <c r="K20" i="16"/>
  <c r="K17" i="16"/>
  <c r="G349" i="28"/>
  <c r="G354" i="28" s="1"/>
  <c r="J354" i="28" s="1"/>
  <c r="J366" i="28" s="1"/>
  <c r="C23" i="16" s="1"/>
  <c r="H349" i="28"/>
  <c r="G321" i="28"/>
  <c r="G326" i="28" s="1"/>
  <c r="J326" i="28" s="1"/>
  <c r="J338" i="28" s="1"/>
  <c r="C22" i="16" s="1"/>
  <c r="H321" i="28"/>
  <c r="H293" i="28"/>
  <c r="G293" i="28"/>
  <c r="G298" i="28" s="1"/>
  <c r="J298" i="28" s="1"/>
  <c r="J310" i="28" s="1"/>
  <c r="C21" i="16" s="1"/>
  <c r="H265" i="28"/>
  <c r="G265" i="28"/>
  <c r="G270" i="28" s="1"/>
  <c r="J270" i="28" s="1"/>
  <c r="J282" i="28" s="1"/>
  <c r="C20" i="16" s="1"/>
  <c r="J242" i="28"/>
  <c r="J254" i="28" s="1"/>
  <c r="C19" i="16" s="1"/>
  <c r="G181" i="28"/>
  <c r="G186" i="28" s="1"/>
  <c r="J186" i="28" s="1"/>
  <c r="H181" i="28"/>
  <c r="H153" i="28"/>
  <c r="H133" i="28"/>
  <c r="I133" i="28" s="1"/>
  <c r="G137" i="28"/>
  <c r="H136" i="28"/>
  <c r="I136" i="28" s="1"/>
  <c r="H125" i="28"/>
  <c r="H134" i="28"/>
  <c r="I134" i="28" s="1"/>
  <c r="G133" i="28"/>
  <c r="H29" i="28"/>
  <c r="K15" i="16"/>
  <c r="G136" i="28"/>
  <c r="G135" i="28"/>
  <c r="G134" i="28"/>
  <c r="H137" i="28"/>
  <c r="I137" i="28" s="1"/>
  <c r="G125" i="28"/>
  <c r="G130" i="28" s="1"/>
  <c r="J130" i="28" s="1"/>
  <c r="H135" i="28"/>
  <c r="I135" i="28" s="1"/>
  <c r="G29" i="28"/>
  <c r="J29" i="28" s="1"/>
  <c r="J30" i="28" s="1"/>
  <c r="I13" i="28"/>
  <c r="H18" i="28"/>
  <c r="M28" i="28"/>
  <c r="I29" i="28"/>
  <c r="K29" i="28" s="1"/>
  <c r="B125" i="46"/>
  <c r="B123" i="46"/>
  <c r="K21" i="16"/>
  <c r="K24" i="16"/>
  <c r="K16" i="16"/>
  <c r="K19" i="16"/>
  <c r="K22" i="16"/>
  <c r="B126" i="46"/>
  <c r="B124" i="46"/>
  <c r="G386" i="38"/>
  <c r="G388" i="38"/>
  <c r="G390" i="38"/>
  <c r="G392" i="38"/>
  <c r="H386" i="38"/>
  <c r="I386" i="38" s="1"/>
  <c r="H388" i="38"/>
  <c r="I388" i="38" s="1"/>
  <c r="H390" i="38"/>
  <c r="I390" i="38" s="1"/>
  <c r="H392" i="38"/>
  <c r="I392" i="38" s="1"/>
  <c r="G385" i="38"/>
  <c r="G387" i="38"/>
  <c r="G389" i="38"/>
  <c r="G391" i="38"/>
  <c r="I41" i="16"/>
  <c r="K41" i="16" s="1"/>
  <c r="H387" i="38"/>
  <c r="I387" i="38" s="1"/>
  <c r="H389" i="38"/>
  <c r="I389" i="38" s="1"/>
  <c r="H391" i="38"/>
  <c r="I391" i="38" s="1"/>
  <c r="H385" i="38"/>
  <c r="I385" i="38" s="1"/>
  <c r="G274" i="38"/>
  <c r="G276" i="38"/>
  <c r="G278" i="38"/>
  <c r="G280" i="38"/>
  <c r="G275" i="38"/>
  <c r="G279" i="38"/>
  <c r="I37" i="16"/>
  <c r="K37" i="16" s="1"/>
  <c r="H275" i="38"/>
  <c r="I275" i="38" s="1"/>
  <c r="H273" i="38"/>
  <c r="I273" i="38" s="1"/>
  <c r="H274" i="38"/>
  <c r="I274" i="38" s="1"/>
  <c r="H276" i="38"/>
  <c r="I276" i="38" s="1"/>
  <c r="H278" i="38"/>
  <c r="I278" i="38" s="1"/>
  <c r="H280" i="38"/>
  <c r="I280" i="38" s="1"/>
  <c r="G273" i="38"/>
  <c r="G277" i="38"/>
  <c r="H277" i="38"/>
  <c r="I277" i="38" s="1"/>
  <c r="H279" i="38"/>
  <c r="I279" i="38" s="1"/>
  <c r="B57" i="46"/>
  <c r="F32" i="14"/>
  <c r="J394" i="28"/>
  <c r="C24" i="16" s="1"/>
  <c r="G24" i="16" s="1"/>
  <c r="I393" i="28"/>
  <c r="K393" i="28" s="1"/>
  <c r="L393" i="28" s="1"/>
  <c r="M392" i="28"/>
  <c r="I382" i="28"/>
  <c r="K382" i="28" s="1"/>
  <c r="M381" i="28"/>
  <c r="M364" i="28"/>
  <c r="I365" i="28"/>
  <c r="K365" i="28" s="1"/>
  <c r="L365" i="28"/>
  <c r="M336" i="28"/>
  <c r="I337" i="28"/>
  <c r="K337" i="28" s="1"/>
  <c r="M308" i="28"/>
  <c r="I309" i="28"/>
  <c r="K309" i="28" s="1"/>
  <c r="L309" i="28" s="1"/>
  <c r="I281" i="28"/>
  <c r="K281" i="28" s="1"/>
  <c r="L281" i="28" s="1"/>
  <c r="M280" i="28"/>
  <c r="M252" i="28"/>
  <c r="I253" i="28"/>
  <c r="K253" i="28" s="1"/>
  <c r="L253" i="28" s="1"/>
  <c r="M224" i="28"/>
  <c r="I225" i="28"/>
  <c r="K225" i="28" s="1"/>
  <c r="M168" i="28"/>
  <c r="I169" i="28"/>
  <c r="K169" i="28" s="1"/>
  <c r="I33" i="49"/>
  <c r="I29" i="49"/>
  <c r="I30" i="49"/>
  <c r="I32" i="49"/>
  <c r="I20" i="49"/>
  <c r="I28" i="49"/>
  <c r="I21" i="49"/>
  <c r="I19" i="49"/>
  <c r="I22" i="49"/>
  <c r="I197" i="28" l="1"/>
  <c r="K197" i="28" s="1"/>
  <c r="L197" i="28" s="1"/>
  <c r="J198" i="28"/>
  <c r="C17" i="16" s="1"/>
  <c r="M213" i="28"/>
  <c r="M225" i="28" s="1"/>
  <c r="L169" i="28"/>
  <c r="L214" i="28"/>
  <c r="L29" i="28"/>
  <c r="K226" i="28"/>
  <c r="D18" i="16" s="1"/>
  <c r="G23" i="16"/>
  <c r="I349" i="28"/>
  <c r="H354" i="28"/>
  <c r="I321" i="28"/>
  <c r="H326" i="28"/>
  <c r="I293" i="28"/>
  <c r="H298" i="28"/>
  <c r="I265" i="28"/>
  <c r="H270" i="28"/>
  <c r="I181" i="28"/>
  <c r="H186" i="28"/>
  <c r="I153" i="28"/>
  <c r="H158" i="28"/>
  <c r="I125" i="28"/>
  <c r="H130" i="28"/>
  <c r="G141" i="28"/>
  <c r="J141" i="28" s="1"/>
  <c r="J142" i="28" s="1"/>
  <c r="C15" i="16" s="1"/>
  <c r="M140" i="28"/>
  <c r="I141" i="28"/>
  <c r="K141" i="28" s="1"/>
  <c r="H141" i="28"/>
  <c r="M17" i="28"/>
  <c r="M29" i="28" s="1"/>
  <c r="I18" i="28"/>
  <c r="K18" i="28" s="1"/>
  <c r="H15" i="49"/>
  <c r="I15" i="49" s="1"/>
  <c r="I7" i="16"/>
  <c r="I8" i="16" s="1"/>
  <c r="L337" i="28"/>
  <c r="M393" i="28"/>
  <c r="K394" i="28"/>
  <c r="D24" i="16" s="1"/>
  <c r="H24" i="16" s="1"/>
  <c r="L382" i="28"/>
  <c r="L226" i="28"/>
  <c r="L225" i="28"/>
  <c r="G15" i="49"/>
  <c r="H17" i="49"/>
  <c r="I17" i="49" s="1"/>
  <c r="H26" i="49"/>
  <c r="H13" i="49"/>
  <c r="I13" i="49" s="1"/>
  <c r="G27" i="49"/>
  <c r="G12" i="49"/>
  <c r="G26" i="49"/>
  <c r="H27" i="49"/>
  <c r="I27" i="49" s="1"/>
  <c r="G17" i="49"/>
  <c r="H11" i="49"/>
  <c r="I11" i="49" s="1"/>
  <c r="H14" i="49"/>
  <c r="I14" i="49" s="1"/>
  <c r="H12" i="49"/>
  <c r="I12" i="49" s="1"/>
  <c r="G13" i="49"/>
  <c r="G11" i="49"/>
  <c r="G14" i="49"/>
  <c r="P10" i="45"/>
  <c r="P9" i="45"/>
  <c r="P7" i="45"/>
  <c r="P9" i="44"/>
  <c r="P8" i="44"/>
  <c r="P7" i="44"/>
  <c r="P6" i="44"/>
  <c r="M60" i="14"/>
  <c r="M59" i="14"/>
  <c r="I98" i="14" l="1"/>
  <c r="I97" i="14"/>
  <c r="C11" i="16"/>
  <c r="I354" i="28"/>
  <c r="K354" i="28" s="1"/>
  <c r="M353" i="28"/>
  <c r="M365" i="28" s="1"/>
  <c r="I326" i="28"/>
  <c r="K326" i="28" s="1"/>
  <c r="M325" i="28"/>
  <c r="M337" i="28" s="1"/>
  <c r="M297" i="28"/>
  <c r="M309" i="28" s="1"/>
  <c r="I298" i="28"/>
  <c r="K298" i="28" s="1"/>
  <c r="M269" i="28"/>
  <c r="M281" i="28" s="1"/>
  <c r="I270" i="28"/>
  <c r="K270" i="28" s="1"/>
  <c r="K242" i="28"/>
  <c r="M241" i="28"/>
  <c r="M253" i="28" s="1"/>
  <c r="I186" i="28"/>
  <c r="K186" i="28" s="1"/>
  <c r="M185" i="28"/>
  <c r="M197" i="28" s="1"/>
  <c r="M157" i="28"/>
  <c r="M169" i="28" s="1"/>
  <c r="I158" i="28"/>
  <c r="K158" i="28" s="1"/>
  <c r="L141" i="28"/>
  <c r="I130" i="28"/>
  <c r="K130" i="28" s="1"/>
  <c r="M129" i="28"/>
  <c r="M141" i="28" s="1"/>
  <c r="K30" i="28"/>
  <c r="L30" i="28" s="1"/>
  <c r="L18" i="28"/>
  <c r="I154" i="44"/>
  <c r="I156" i="44"/>
  <c r="I158" i="44"/>
  <c r="I160" i="44"/>
  <c r="I162" i="44"/>
  <c r="I164" i="44"/>
  <c r="I166" i="44"/>
  <c r="I155" i="44"/>
  <c r="I157" i="44"/>
  <c r="I159" i="44"/>
  <c r="I161" i="44"/>
  <c r="I163" i="44"/>
  <c r="I165" i="44"/>
  <c r="I153" i="44"/>
  <c r="L394" i="28"/>
  <c r="G34" i="49"/>
  <c r="J34" i="49" s="1"/>
  <c r="I23" i="49"/>
  <c r="K23" i="49" s="1"/>
  <c r="H34" i="49"/>
  <c r="I26" i="49"/>
  <c r="I34" i="49" s="1"/>
  <c r="K34" i="49" s="1"/>
  <c r="G23" i="49"/>
  <c r="J23" i="49" s="1"/>
  <c r="M23" i="49"/>
  <c r="H23" i="49"/>
  <c r="I105" i="14" l="1"/>
  <c r="K105" i="14" s="1"/>
  <c r="C7" i="16"/>
  <c r="C8" i="16" s="1"/>
  <c r="D11" i="16"/>
  <c r="K170" i="28"/>
  <c r="L158" i="28"/>
  <c r="K198" i="28"/>
  <c r="L186" i="28"/>
  <c r="L242" i="28"/>
  <c r="K282" i="28"/>
  <c r="L270" i="28"/>
  <c r="K310" i="28"/>
  <c r="L298" i="28"/>
  <c r="K338" i="28"/>
  <c r="L326" i="28"/>
  <c r="K366" i="28"/>
  <c r="L366" i="28" s="1"/>
  <c r="L354" i="28"/>
  <c r="K142" i="28"/>
  <c r="L130" i="28"/>
  <c r="I167" i="44"/>
  <c r="M167" i="44"/>
  <c r="L34" i="49"/>
  <c r="L23" i="49"/>
  <c r="D7" i="16"/>
  <c r="M34" i="49"/>
  <c r="M47" i="49" s="1"/>
  <c r="M46" i="49"/>
  <c r="J46" i="49"/>
  <c r="E7" i="16" s="1"/>
  <c r="E8" i="16" s="1"/>
  <c r="F142" i="44"/>
  <c r="G142" i="44"/>
  <c r="H142" i="44" s="1"/>
  <c r="I142" i="44" s="1"/>
  <c r="F143" i="44"/>
  <c r="G143" i="44"/>
  <c r="H143" i="44" s="1"/>
  <c r="I143" i="44" s="1"/>
  <c r="F141" i="44"/>
  <c r="G141" i="44"/>
  <c r="H141" i="44" s="1"/>
  <c r="I141" i="44" s="1"/>
  <c r="K167" i="44" l="1"/>
  <c r="F41" i="16" s="1"/>
  <c r="H41" i="16" s="1"/>
  <c r="L167" i="44"/>
  <c r="L170" i="28"/>
  <c r="D16" i="16"/>
  <c r="D17" i="16"/>
  <c r="L198" i="28"/>
  <c r="L254" i="28"/>
  <c r="D19" i="16"/>
  <c r="D20" i="16"/>
  <c r="L282" i="28"/>
  <c r="D21" i="16"/>
  <c r="L310" i="28"/>
  <c r="D22" i="16"/>
  <c r="L338" i="28"/>
  <c r="D23" i="16"/>
  <c r="H23" i="16" s="1"/>
  <c r="D15" i="16"/>
  <c r="L142" i="28"/>
  <c r="G7" i="16"/>
  <c r="K47" i="49"/>
  <c r="F7" i="16"/>
  <c r="F8" i="16" s="1"/>
  <c r="G8" i="16"/>
  <c r="D8" i="16"/>
  <c r="L46" i="49"/>
  <c r="J47" i="49"/>
  <c r="F139" i="44"/>
  <c r="G139" i="44"/>
  <c r="H139" i="44" s="1"/>
  <c r="I139" i="44" s="1"/>
  <c r="F140" i="44"/>
  <c r="G140" i="44"/>
  <c r="H140" i="44" s="1"/>
  <c r="I140" i="44" s="1"/>
  <c r="F144" i="44"/>
  <c r="G144" i="44"/>
  <c r="H144" i="44" s="1"/>
  <c r="I144" i="44" s="1"/>
  <c r="F145" i="44"/>
  <c r="G145" i="44"/>
  <c r="H145" i="44" s="1"/>
  <c r="I145" i="44" s="1"/>
  <c r="H8" i="16" l="1"/>
  <c r="L47" i="49"/>
  <c r="H7" i="16"/>
  <c r="B71" i="14" l="1"/>
  <c r="B70" i="14"/>
  <c r="B69" i="14"/>
  <c r="B68" i="14"/>
  <c r="B67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G72" i="14"/>
  <c r="H72" i="14"/>
  <c r="I72" i="14" s="1"/>
  <c r="E73" i="14"/>
  <c r="F73" i="14"/>
  <c r="G73" i="14"/>
  <c r="H73" i="14"/>
  <c r="I73" i="14" s="1"/>
  <c r="B72" i="14"/>
  <c r="B7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G19" i="14"/>
  <c r="H19" i="14"/>
  <c r="I19" i="14" s="1"/>
  <c r="E20" i="14"/>
  <c r="F20" i="14"/>
  <c r="G20" i="14"/>
  <c r="H20" i="14"/>
  <c r="I20" i="14" s="1"/>
  <c r="B14" i="14"/>
  <c r="B15" i="14"/>
  <c r="B16" i="14"/>
  <c r="B17" i="14"/>
  <c r="B18" i="14"/>
  <c r="B19" i="14"/>
  <c r="B20" i="14"/>
  <c r="B21" i="14"/>
  <c r="E58" i="14"/>
  <c r="C57" i="14"/>
  <c r="B74" i="14"/>
  <c r="C4" i="14"/>
  <c r="B12" i="14"/>
  <c r="B13" i="14"/>
  <c r="F151" i="5"/>
  <c r="F121" i="47"/>
  <c r="F115" i="47"/>
  <c r="F111" i="47"/>
  <c r="F105" i="47"/>
  <c r="F97" i="47"/>
  <c r="F89" i="47"/>
  <c r="H89" i="47" s="1"/>
  <c r="F79" i="47"/>
  <c r="F75" i="47"/>
  <c r="F69" i="47"/>
  <c r="F67" i="47"/>
  <c r="F60" i="47"/>
  <c r="F58" i="47"/>
  <c r="F52" i="47"/>
  <c r="F50" i="47"/>
  <c r="F44" i="47"/>
  <c r="F40" i="47"/>
  <c r="F34" i="47"/>
  <c r="F32" i="47"/>
  <c r="F26" i="47"/>
  <c r="F22" i="47"/>
  <c r="F15" i="47"/>
  <c r="F9" i="47"/>
  <c r="F8" i="47"/>
  <c r="F6" i="47"/>
  <c r="C35" i="39"/>
  <c r="C63" i="39"/>
  <c r="C91" i="39"/>
  <c r="C119" i="39"/>
  <c r="C147" i="39"/>
  <c r="G155" i="45"/>
  <c r="H155" i="45" s="1"/>
  <c r="I155" i="45" s="1"/>
  <c r="F155" i="45"/>
  <c r="G154" i="45"/>
  <c r="H154" i="45" s="1"/>
  <c r="I154" i="45" s="1"/>
  <c r="F154" i="45"/>
  <c r="G153" i="45"/>
  <c r="H153" i="45" s="1"/>
  <c r="I153" i="45" s="1"/>
  <c r="F153" i="45"/>
  <c r="G152" i="45"/>
  <c r="H152" i="45" s="1"/>
  <c r="I152" i="45" s="1"/>
  <c r="F152" i="45"/>
  <c r="G151" i="45"/>
  <c r="H151" i="45" s="1"/>
  <c r="I151" i="45" s="1"/>
  <c r="F151" i="45"/>
  <c r="G150" i="45"/>
  <c r="F150" i="45"/>
  <c r="G149" i="45"/>
  <c r="H149" i="45" s="1"/>
  <c r="I149" i="45" s="1"/>
  <c r="F149" i="45"/>
  <c r="G148" i="45"/>
  <c r="H148" i="45" s="1"/>
  <c r="F148" i="45"/>
  <c r="G144" i="45"/>
  <c r="H144" i="45" s="1"/>
  <c r="I144" i="45" s="1"/>
  <c r="F144" i="45"/>
  <c r="G143" i="45"/>
  <c r="H143" i="45" s="1"/>
  <c r="I143" i="45" s="1"/>
  <c r="F143" i="45"/>
  <c r="G142" i="45"/>
  <c r="H142" i="45" s="1"/>
  <c r="I142" i="45" s="1"/>
  <c r="F142" i="45"/>
  <c r="G141" i="45"/>
  <c r="H141" i="45" s="1"/>
  <c r="I141" i="45" s="1"/>
  <c r="F141" i="45"/>
  <c r="G140" i="45"/>
  <c r="H140" i="45" s="1"/>
  <c r="I140" i="45" s="1"/>
  <c r="F140" i="45"/>
  <c r="G139" i="45"/>
  <c r="H139" i="45" s="1"/>
  <c r="I139" i="45" s="1"/>
  <c r="F139" i="45"/>
  <c r="G138" i="45"/>
  <c r="H138" i="45" s="1"/>
  <c r="I138" i="45" s="1"/>
  <c r="F138" i="45"/>
  <c r="G137" i="45"/>
  <c r="H137" i="45" s="1"/>
  <c r="F137" i="45"/>
  <c r="G133" i="45"/>
  <c r="H133" i="45" s="1"/>
  <c r="I133" i="45" s="1"/>
  <c r="F133" i="45"/>
  <c r="G132" i="45"/>
  <c r="H132" i="45" s="1"/>
  <c r="I132" i="45" s="1"/>
  <c r="F132" i="45"/>
  <c r="G131" i="45"/>
  <c r="H131" i="45" s="1"/>
  <c r="I131" i="45" s="1"/>
  <c r="F131" i="45"/>
  <c r="G130" i="45"/>
  <c r="H130" i="45" s="1"/>
  <c r="I130" i="45" s="1"/>
  <c r="F130" i="45"/>
  <c r="G129" i="45"/>
  <c r="H129" i="45" s="1"/>
  <c r="I129" i="45" s="1"/>
  <c r="F129" i="45"/>
  <c r="G128" i="45"/>
  <c r="H128" i="45" s="1"/>
  <c r="I128" i="45" s="1"/>
  <c r="F128" i="45"/>
  <c r="G127" i="45"/>
  <c r="H127" i="45" s="1"/>
  <c r="I127" i="45" s="1"/>
  <c r="F127" i="45"/>
  <c r="G126" i="45"/>
  <c r="H126" i="45" s="1"/>
  <c r="I126" i="45" s="1"/>
  <c r="F126" i="45"/>
  <c r="G122" i="45"/>
  <c r="H122" i="45" s="1"/>
  <c r="I122" i="45" s="1"/>
  <c r="F122" i="45"/>
  <c r="G121" i="45"/>
  <c r="H121" i="45" s="1"/>
  <c r="I121" i="45" s="1"/>
  <c r="F121" i="45"/>
  <c r="G120" i="45"/>
  <c r="H120" i="45" s="1"/>
  <c r="I120" i="45" s="1"/>
  <c r="F120" i="45"/>
  <c r="G119" i="45"/>
  <c r="H119" i="45" s="1"/>
  <c r="I119" i="45" s="1"/>
  <c r="F119" i="45"/>
  <c r="G118" i="45"/>
  <c r="H118" i="45" s="1"/>
  <c r="I118" i="45" s="1"/>
  <c r="F118" i="45"/>
  <c r="G117" i="45"/>
  <c r="H117" i="45" s="1"/>
  <c r="I117" i="45" s="1"/>
  <c r="F117" i="45"/>
  <c r="G116" i="45"/>
  <c r="H116" i="45" s="1"/>
  <c r="I116" i="45" s="1"/>
  <c r="F116" i="45"/>
  <c r="G115" i="45"/>
  <c r="H115" i="45" s="1"/>
  <c r="F115" i="45"/>
  <c r="G111" i="45"/>
  <c r="H111" i="45" s="1"/>
  <c r="I111" i="45" s="1"/>
  <c r="F111" i="45"/>
  <c r="G110" i="45"/>
  <c r="H110" i="45" s="1"/>
  <c r="I110" i="45" s="1"/>
  <c r="F110" i="45"/>
  <c r="G109" i="45"/>
  <c r="H109" i="45" s="1"/>
  <c r="I109" i="45" s="1"/>
  <c r="F109" i="45"/>
  <c r="G108" i="45"/>
  <c r="H108" i="45" s="1"/>
  <c r="I108" i="45" s="1"/>
  <c r="F108" i="45"/>
  <c r="G107" i="45"/>
  <c r="H107" i="45" s="1"/>
  <c r="I107" i="45" s="1"/>
  <c r="F107" i="45"/>
  <c r="G106" i="45"/>
  <c r="H106" i="45" s="1"/>
  <c r="I106" i="45" s="1"/>
  <c r="F106" i="45"/>
  <c r="G105" i="45"/>
  <c r="H105" i="45" s="1"/>
  <c r="I105" i="45" s="1"/>
  <c r="F105" i="45"/>
  <c r="G104" i="45"/>
  <c r="H104" i="45" s="1"/>
  <c r="I104" i="45" s="1"/>
  <c r="F104" i="45"/>
  <c r="G100" i="45"/>
  <c r="H100" i="45" s="1"/>
  <c r="I100" i="45" s="1"/>
  <c r="F100" i="45"/>
  <c r="G99" i="45"/>
  <c r="H99" i="45" s="1"/>
  <c r="I99" i="45" s="1"/>
  <c r="F99" i="45"/>
  <c r="G98" i="45"/>
  <c r="H98" i="45" s="1"/>
  <c r="I98" i="45" s="1"/>
  <c r="F98" i="45"/>
  <c r="G97" i="45"/>
  <c r="H97" i="45" s="1"/>
  <c r="I97" i="45" s="1"/>
  <c r="F97" i="45"/>
  <c r="G96" i="45"/>
  <c r="H96" i="45" s="1"/>
  <c r="I96" i="45" s="1"/>
  <c r="F96" i="45"/>
  <c r="G95" i="45"/>
  <c r="H95" i="45" s="1"/>
  <c r="I95" i="45" s="1"/>
  <c r="F95" i="45"/>
  <c r="G94" i="45"/>
  <c r="H94" i="45" s="1"/>
  <c r="I94" i="45" s="1"/>
  <c r="F94" i="45"/>
  <c r="G93" i="45"/>
  <c r="H93" i="45" s="1"/>
  <c r="F93" i="45"/>
  <c r="G149" i="44"/>
  <c r="H149" i="44" s="1"/>
  <c r="I149" i="44" s="1"/>
  <c r="F149" i="44"/>
  <c r="G148" i="44"/>
  <c r="H148" i="44" s="1"/>
  <c r="I148" i="44" s="1"/>
  <c r="F148" i="44"/>
  <c r="G147" i="44"/>
  <c r="H147" i="44" s="1"/>
  <c r="I147" i="44" s="1"/>
  <c r="F147" i="44"/>
  <c r="G146" i="44"/>
  <c r="H146" i="44" s="1"/>
  <c r="I146" i="44" s="1"/>
  <c r="F146" i="44"/>
  <c r="G138" i="44"/>
  <c r="H138" i="44" s="1"/>
  <c r="I138" i="44" s="1"/>
  <c r="F138" i="44"/>
  <c r="G137" i="44"/>
  <c r="H137" i="44" s="1"/>
  <c r="I137" i="44" s="1"/>
  <c r="F137" i="44"/>
  <c r="G136" i="44"/>
  <c r="F136" i="44"/>
  <c r="G132" i="44"/>
  <c r="H132" i="44" s="1"/>
  <c r="I132" i="44" s="1"/>
  <c r="F132" i="44"/>
  <c r="G131" i="44"/>
  <c r="H131" i="44" s="1"/>
  <c r="I131" i="44" s="1"/>
  <c r="F131" i="44"/>
  <c r="G130" i="44"/>
  <c r="H130" i="44" s="1"/>
  <c r="I130" i="44" s="1"/>
  <c r="F130" i="44"/>
  <c r="G129" i="44"/>
  <c r="H129" i="44" s="1"/>
  <c r="I129" i="44" s="1"/>
  <c r="F129" i="44"/>
  <c r="G128" i="44"/>
  <c r="H128" i="44" s="1"/>
  <c r="I128" i="44" s="1"/>
  <c r="F128" i="44"/>
  <c r="G127" i="44"/>
  <c r="F127" i="44"/>
  <c r="G126" i="44"/>
  <c r="F126" i="44"/>
  <c r="G125" i="44"/>
  <c r="H125" i="44" s="1"/>
  <c r="F125" i="44"/>
  <c r="G121" i="44"/>
  <c r="H121" i="44" s="1"/>
  <c r="I121" i="44" s="1"/>
  <c r="F121" i="44"/>
  <c r="G120" i="44"/>
  <c r="H120" i="44" s="1"/>
  <c r="I120" i="44" s="1"/>
  <c r="F120" i="44"/>
  <c r="G119" i="44"/>
  <c r="H119" i="44" s="1"/>
  <c r="I119" i="44" s="1"/>
  <c r="F119" i="44"/>
  <c r="G118" i="44"/>
  <c r="H118" i="44" s="1"/>
  <c r="I118" i="44" s="1"/>
  <c r="F118" i="44"/>
  <c r="G117" i="44"/>
  <c r="H117" i="44" s="1"/>
  <c r="I117" i="44" s="1"/>
  <c r="F117" i="44"/>
  <c r="G116" i="44"/>
  <c r="H116" i="44" s="1"/>
  <c r="I116" i="44" s="1"/>
  <c r="F116" i="44"/>
  <c r="G115" i="44"/>
  <c r="H115" i="44" s="1"/>
  <c r="I115" i="44" s="1"/>
  <c r="F115" i="44"/>
  <c r="G114" i="44"/>
  <c r="H114" i="44" s="1"/>
  <c r="F114" i="44"/>
  <c r="G110" i="44"/>
  <c r="H110" i="44" s="1"/>
  <c r="I110" i="44" s="1"/>
  <c r="F110" i="44"/>
  <c r="G109" i="44"/>
  <c r="H109" i="44" s="1"/>
  <c r="I109" i="44" s="1"/>
  <c r="F109" i="44"/>
  <c r="G108" i="44"/>
  <c r="H108" i="44" s="1"/>
  <c r="I108" i="44" s="1"/>
  <c r="F108" i="44"/>
  <c r="G107" i="44"/>
  <c r="H107" i="44" s="1"/>
  <c r="I107" i="44" s="1"/>
  <c r="F107" i="44"/>
  <c r="G106" i="44"/>
  <c r="H106" i="44" s="1"/>
  <c r="I106" i="44" s="1"/>
  <c r="F106" i="44"/>
  <c r="G105" i="44"/>
  <c r="H105" i="44" s="1"/>
  <c r="I105" i="44" s="1"/>
  <c r="F105" i="44"/>
  <c r="G104" i="44"/>
  <c r="H104" i="44" s="1"/>
  <c r="I104" i="44" s="1"/>
  <c r="F104" i="44"/>
  <c r="G103" i="44"/>
  <c r="H103" i="44" s="1"/>
  <c r="F103" i="44"/>
  <c r="G99" i="44"/>
  <c r="H99" i="44" s="1"/>
  <c r="I99" i="44" s="1"/>
  <c r="F99" i="44"/>
  <c r="G98" i="44"/>
  <c r="H98" i="44" s="1"/>
  <c r="I98" i="44" s="1"/>
  <c r="F98" i="44"/>
  <c r="G97" i="44"/>
  <c r="H97" i="44" s="1"/>
  <c r="I97" i="44" s="1"/>
  <c r="F97" i="44"/>
  <c r="G96" i="44"/>
  <c r="H96" i="44" s="1"/>
  <c r="I96" i="44" s="1"/>
  <c r="F96" i="44"/>
  <c r="G95" i="44"/>
  <c r="H95" i="44" s="1"/>
  <c r="I95" i="44" s="1"/>
  <c r="F95" i="44"/>
  <c r="G94" i="44"/>
  <c r="H94" i="44" s="1"/>
  <c r="I94" i="44" s="1"/>
  <c r="F94" i="44"/>
  <c r="G93" i="44"/>
  <c r="H93" i="44" s="1"/>
  <c r="I93" i="44" s="1"/>
  <c r="F93" i="44"/>
  <c r="G92" i="44"/>
  <c r="H92" i="44" s="1"/>
  <c r="F92" i="44"/>
  <c r="G169" i="5"/>
  <c r="H169" i="5" s="1"/>
  <c r="I169" i="5" s="1"/>
  <c r="F169" i="5"/>
  <c r="G168" i="5"/>
  <c r="H168" i="5" s="1"/>
  <c r="I168" i="5" s="1"/>
  <c r="F168" i="5"/>
  <c r="G167" i="5"/>
  <c r="H167" i="5" s="1"/>
  <c r="I167" i="5" s="1"/>
  <c r="F167" i="5"/>
  <c r="G166" i="5"/>
  <c r="H166" i="5" s="1"/>
  <c r="I166" i="5" s="1"/>
  <c r="F166" i="5"/>
  <c r="G165" i="5"/>
  <c r="H165" i="5" s="1"/>
  <c r="I165" i="5" s="1"/>
  <c r="F165" i="5"/>
  <c r="G164" i="5"/>
  <c r="H164" i="5" s="1"/>
  <c r="I164" i="5" s="1"/>
  <c r="F164" i="5"/>
  <c r="G163" i="5"/>
  <c r="H163" i="5" s="1"/>
  <c r="I163" i="5" s="1"/>
  <c r="F163" i="5"/>
  <c r="G162" i="5"/>
  <c r="F162" i="5"/>
  <c r="G158" i="5"/>
  <c r="H158" i="5" s="1"/>
  <c r="I158" i="5" s="1"/>
  <c r="F158" i="5"/>
  <c r="G157" i="5"/>
  <c r="H157" i="5" s="1"/>
  <c r="I157" i="5" s="1"/>
  <c r="F157" i="5"/>
  <c r="G156" i="5"/>
  <c r="H156" i="5" s="1"/>
  <c r="I156" i="5" s="1"/>
  <c r="F156" i="5"/>
  <c r="G155" i="5"/>
  <c r="H155" i="5" s="1"/>
  <c r="I155" i="5" s="1"/>
  <c r="F155" i="5"/>
  <c r="G154" i="5"/>
  <c r="H154" i="5" s="1"/>
  <c r="I154" i="5" s="1"/>
  <c r="F154" i="5"/>
  <c r="G153" i="5"/>
  <c r="H153" i="5" s="1"/>
  <c r="I153" i="5" s="1"/>
  <c r="F153" i="5"/>
  <c r="G152" i="5"/>
  <c r="H152" i="5" s="1"/>
  <c r="I152" i="5" s="1"/>
  <c r="F152" i="5"/>
  <c r="G151" i="5"/>
  <c r="G147" i="5"/>
  <c r="H147" i="5" s="1"/>
  <c r="I147" i="5" s="1"/>
  <c r="F147" i="5"/>
  <c r="G146" i="5"/>
  <c r="H146" i="5" s="1"/>
  <c r="I146" i="5" s="1"/>
  <c r="F146" i="5"/>
  <c r="G145" i="5"/>
  <c r="H145" i="5" s="1"/>
  <c r="I145" i="5" s="1"/>
  <c r="F145" i="5"/>
  <c r="G144" i="5"/>
  <c r="H144" i="5" s="1"/>
  <c r="I144" i="5" s="1"/>
  <c r="F144" i="5"/>
  <c r="G143" i="5"/>
  <c r="H143" i="5" s="1"/>
  <c r="I143" i="5" s="1"/>
  <c r="F143" i="5"/>
  <c r="G142" i="5"/>
  <c r="H142" i="5" s="1"/>
  <c r="I142" i="5" s="1"/>
  <c r="F142" i="5"/>
  <c r="G141" i="5"/>
  <c r="H141" i="5" s="1"/>
  <c r="I141" i="5" s="1"/>
  <c r="F141" i="5"/>
  <c r="G140" i="5"/>
  <c r="H140" i="5" s="1"/>
  <c r="F140" i="5"/>
  <c r="G136" i="5"/>
  <c r="H136" i="5" s="1"/>
  <c r="I136" i="5" s="1"/>
  <c r="F136" i="5"/>
  <c r="G135" i="5"/>
  <c r="H135" i="5" s="1"/>
  <c r="I135" i="5" s="1"/>
  <c r="F135" i="5"/>
  <c r="G134" i="5"/>
  <c r="H134" i="5" s="1"/>
  <c r="I134" i="5" s="1"/>
  <c r="F134" i="5"/>
  <c r="G133" i="5"/>
  <c r="H133" i="5" s="1"/>
  <c r="I133" i="5" s="1"/>
  <c r="F133" i="5"/>
  <c r="G132" i="5"/>
  <c r="H132" i="5" s="1"/>
  <c r="I132" i="5" s="1"/>
  <c r="F132" i="5"/>
  <c r="G131" i="5"/>
  <c r="H131" i="5" s="1"/>
  <c r="I131" i="5" s="1"/>
  <c r="F131" i="5"/>
  <c r="G130" i="5"/>
  <c r="H130" i="5" s="1"/>
  <c r="I130" i="5" s="1"/>
  <c r="F130" i="5"/>
  <c r="G129" i="5"/>
  <c r="H129" i="5" s="1"/>
  <c r="F129" i="5"/>
  <c r="F148" i="5" l="1"/>
  <c r="F137" i="5"/>
  <c r="J137" i="5" s="1"/>
  <c r="F170" i="5"/>
  <c r="J170" i="5" s="1"/>
  <c r="F100" i="44"/>
  <c r="F111" i="44"/>
  <c r="J111" i="44" s="1"/>
  <c r="E37" i="16" s="1"/>
  <c r="F122" i="44"/>
  <c r="H150" i="45"/>
  <c r="I150" i="45" s="1"/>
  <c r="F150" i="44"/>
  <c r="J150" i="44" s="1"/>
  <c r="E40" i="16" s="1"/>
  <c r="H127" i="44"/>
  <c r="I127" i="44" s="1"/>
  <c r="F123" i="45"/>
  <c r="F101" i="45"/>
  <c r="J101" i="45" s="1"/>
  <c r="E53" i="16" s="1"/>
  <c r="F133" i="44"/>
  <c r="J133" i="44" s="1"/>
  <c r="E39" i="16" s="1"/>
  <c r="H126" i="44"/>
  <c r="I126" i="44" s="1"/>
  <c r="H123" i="45"/>
  <c r="G101" i="45"/>
  <c r="H101" i="45"/>
  <c r="G123" i="45"/>
  <c r="G150" i="44"/>
  <c r="H136" i="44"/>
  <c r="G170" i="5"/>
  <c r="H162" i="5"/>
  <c r="F159" i="5"/>
  <c r="J159" i="5" s="1"/>
  <c r="H151" i="5"/>
  <c r="H159" i="5" s="1"/>
  <c r="I93" i="45"/>
  <c r="I101" i="45" s="1"/>
  <c r="K101" i="45" s="1"/>
  <c r="F53" i="16" s="1"/>
  <c r="I115" i="45"/>
  <c r="M123" i="45" s="1"/>
  <c r="F112" i="45"/>
  <c r="J112" i="45" s="1"/>
  <c r="E54" i="16" s="1"/>
  <c r="F134" i="45"/>
  <c r="J134" i="45" s="1"/>
  <c r="E56" i="16" s="1"/>
  <c r="F145" i="45"/>
  <c r="G112" i="45"/>
  <c r="G134" i="45"/>
  <c r="F156" i="45"/>
  <c r="J156" i="45" s="1"/>
  <c r="E58" i="16" s="1"/>
  <c r="G58" i="16" s="1"/>
  <c r="I148" i="45"/>
  <c r="G156" i="45"/>
  <c r="H145" i="45"/>
  <c r="I137" i="45"/>
  <c r="I145" i="45" s="1"/>
  <c r="G145" i="45"/>
  <c r="M134" i="45"/>
  <c r="I134" i="45"/>
  <c r="K134" i="45" s="1"/>
  <c r="F56" i="16" s="1"/>
  <c r="H134" i="45"/>
  <c r="M112" i="45"/>
  <c r="I112" i="45"/>
  <c r="K112" i="45" s="1"/>
  <c r="F54" i="16" s="1"/>
  <c r="H112" i="45"/>
  <c r="I125" i="44"/>
  <c r="G133" i="44"/>
  <c r="J122" i="44"/>
  <c r="E38" i="16" s="1"/>
  <c r="H122" i="44"/>
  <c r="I114" i="44"/>
  <c r="G122" i="44"/>
  <c r="H111" i="44"/>
  <c r="I103" i="44"/>
  <c r="G111" i="44"/>
  <c r="H100" i="44"/>
  <c r="I92" i="44"/>
  <c r="G100" i="44"/>
  <c r="G159" i="5"/>
  <c r="J148" i="5"/>
  <c r="I140" i="5"/>
  <c r="H148" i="5"/>
  <c r="G148" i="5"/>
  <c r="H137" i="5"/>
  <c r="I129" i="5"/>
  <c r="G137" i="5"/>
  <c r="L145" i="45" l="1"/>
  <c r="L123" i="45"/>
  <c r="J100" i="44"/>
  <c r="E36" i="16" s="1"/>
  <c r="I151" i="5"/>
  <c r="I159" i="5" s="1"/>
  <c r="L112" i="45"/>
  <c r="I156" i="45"/>
  <c r="K156" i="45" s="1"/>
  <c r="F58" i="16" s="1"/>
  <c r="H58" i="16" s="1"/>
  <c r="E22" i="16"/>
  <c r="G22" i="16" s="1"/>
  <c r="E21" i="16"/>
  <c r="G21" i="16" s="1"/>
  <c r="E20" i="16"/>
  <c r="G20" i="16" s="1"/>
  <c r="E19" i="16"/>
  <c r="G19" i="16" s="1"/>
  <c r="H71" i="14"/>
  <c r="I71" i="14" s="1"/>
  <c r="G93" i="14"/>
  <c r="H93" i="14"/>
  <c r="I93" i="14" s="1"/>
  <c r="H156" i="45"/>
  <c r="G90" i="14"/>
  <c r="H90" i="14"/>
  <c r="I90" i="14" s="1"/>
  <c r="H84" i="14"/>
  <c r="I84" i="14" s="1"/>
  <c r="G91" i="14"/>
  <c r="G89" i="14"/>
  <c r="H91" i="14"/>
  <c r="I91" i="14" s="1"/>
  <c r="G85" i="14"/>
  <c r="H89" i="14"/>
  <c r="I89" i="14" s="1"/>
  <c r="G92" i="14"/>
  <c r="H92" i="14"/>
  <c r="I92" i="14" s="1"/>
  <c r="G86" i="14"/>
  <c r="H86" i="14"/>
  <c r="I86" i="14" s="1"/>
  <c r="H68" i="14"/>
  <c r="I68" i="14" s="1"/>
  <c r="G69" i="14"/>
  <c r="G70" i="14"/>
  <c r="H69" i="14"/>
  <c r="I69" i="14" s="1"/>
  <c r="H70" i="14"/>
  <c r="I70" i="14" s="1"/>
  <c r="G71" i="14"/>
  <c r="G68" i="14"/>
  <c r="H87" i="14"/>
  <c r="I87" i="14" s="1"/>
  <c r="G67" i="14"/>
  <c r="G87" i="14"/>
  <c r="H67" i="14"/>
  <c r="I67" i="14" s="1"/>
  <c r="H88" i="14"/>
  <c r="I88" i="14" s="1"/>
  <c r="H85" i="14"/>
  <c r="I85" i="14" s="1"/>
  <c r="G84" i="14"/>
  <c r="G88" i="14"/>
  <c r="H133" i="44"/>
  <c r="L101" i="45"/>
  <c r="I123" i="45"/>
  <c r="K123" i="45" s="1"/>
  <c r="F55" i="16" s="1"/>
  <c r="J123" i="45"/>
  <c r="E55" i="16" s="1"/>
  <c r="L134" i="45"/>
  <c r="H150" i="44"/>
  <c r="I136" i="44"/>
  <c r="H170" i="5"/>
  <c r="I162" i="5"/>
  <c r="J145" i="45"/>
  <c r="E57" i="16" s="1"/>
  <c r="M101" i="45"/>
  <c r="M156" i="45"/>
  <c r="M145" i="45"/>
  <c r="K145" i="45"/>
  <c r="F57" i="16" s="1"/>
  <c r="M133" i="44"/>
  <c r="I133" i="44"/>
  <c r="I122" i="44"/>
  <c r="K122" i="44" s="1"/>
  <c r="F38" i="16" s="1"/>
  <c r="M122" i="44"/>
  <c r="M111" i="44"/>
  <c r="I111" i="44"/>
  <c r="K111" i="44" s="1"/>
  <c r="F37" i="16" s="1"/>
  <c r="M100" i="44"/>
  <c r="I100" i="44"/>
  <c r="K100" i="44" s="1"/>
  <c r="F36" i="16" s="1"/>
  <c r="M148" i="5"/>
  <c r="I148" i="5"/>
  <c r="M137" i="5"/>
  <c r="I137" i="5"/>
  <c r="B157" i="39"/>
  <c r="B156" i="39"/>
  <c r="B155" i="39"/>
  <c r="B154" i="39"/>
  <c r="B153" i="39"/>
  <c r="M159" i="5" l="1"/>
  <c r="L122" i="44"/>
  <c r="L111" i="44"/>
  <c r="L100" i="44"/>
  <c r="K148" i="5"/>
  <c r="F20" i="16" s="1"/>
  <c r="H20" i="16" s="1"/>
  <c r="L148" i="5"/>
  <c r="K137" i="5"/>
  <c r="F19" i="16" s="1"/>
  <c r="H19" i="16" s="1"/>
  <c r="L137" i="5"/>
  <c r="L156" i="45"/>
  <c r="K133" i="44"/>
  <c r="F39" i="16" s="1"/>
  <c r="L133" i="44"/>
  <c r="I150" i="44"/>
  <c r="M150" i="44"/>
  <c r="M170" i="5"/>
  <c r="I170" i="5"/>
  <c r="K159" i="5"/>
  <c r="L159" i="5"/>
  <c r="F85" i="47"/>
  <c r="F95" i="47"/>
  <c r="F103" i="47"/>
  <c r="B129" i="39"/>
  <c r="B128" i="39"/>
  <c r="B127" i="39"/>
  <c r="B126" i="39"/>
  <c r="B125" i="39"/>
  <c r="B101" i="39"/>
  <c r="B100" i="39"/>
  <c r="B99" i="39"/>
  <c r="B98" i="39"/>
  <c r="B97" i="39"/>
  <c r="B73" i="39"/>
  <c r="B72" i="39"/>
  <c r="B71" i="39"/>
  <c r="B70" i="39"/>
  <c r="B69" i="39"/>
  <c r="B45" i="39"/>
  <c r="B44" i="39"/>
  <c r="B43" i="39"/>
  <c r="B42" i="39"/>
  <c r="B41" i="39"/>
  <c r="B129" i="38"/>
  <c r="B128" i="38"/>
  <c r="B127" i="38"/>
  <c r="B126" i="38"/>
  <c r="B125" i="38"/>
  <c r="B101" i="38"/>
  <c r="B100" i="38"/>
  <c r="B99" i="38"/>
  <c r="B98" i="38"/>
  <c r="B97" i="38"/>
  <c r="B73" i="38"/>
  <c r="B72" i="38"/>
  <c r="B71" i="38"/>
  <c r="B70" i="38"/>
  <c r="B69" i="38"/>
  <c r="B45" i="38"/>
  <c r="B44" i="38"/>
  <c r="B43" i="38"/>
  <c r="B42" i="38"/>
  <c r="B41" i="38"/>
  <c r="B17" i="38"/>
  <c r="B16" i="38"/>
  <c r="B15" i="38"/>
  <c r="B14" i="38"/>
  <c r="B13" i="38"/>
  <c r="F21" i="16" l="1"/>
  <c r="H21" i="16" s="1"/>
  <c r="K150" i="44"/>
  <c r="F40" i="16" s="1"/>
  <c r="L150" i="44"/>
  <c r="K170" i="5"/>
  <c r="L170" i="5"/>
  <c r="F22" i="16" l="1"/>
  <c r="H22" i="16" s="1"/>
  <c r="H90" i="47"/>
  <c r="H43" i="47"/>
  <c r="H42" i="47"/>
  <c r="H38" i="47"/>
  <c r="H39" i="47"/>
  <c r="H40" i="47"/>
  <c r="H41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D130" i="46" l="1"/>
  <c r="E130" i="46" s="1"/>
  <c r="D131" i="46"/>
  <c r="E131" i="46" s="1"/>
  <c r="D132" i="46"/>
  <c r="E132" i="46" s="1"/>
  <c r="D133" i="46"/>
  <c r="E133" i="46" s="1"/>
  <c r="D134" i="46"/>
  <c r="E134" i="46" s="1"/>
  <c r="D135" i="46"/>
  <c r="E135" i="46" s="1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H8" i="47"/>
  <c r="H9" i="47"/>
  <c r="H10" i="47"/>
  <c r="H11" i="47"/>
  <c r="H12" i="47"/>
  <c r="H13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7" i="47"/>
  <c r="H6" i="47"/>
  <c r="G97" i="14"/>
  <c r="H112" i="28"/>
  <c r="I112" i="28" s="1"/>
  <c r="G112" i="28"/>
  <c r="H4" i="47" l="1"/>
  <c r="I3" i="16" l="1"/>
  <c r="J3" i="16"/>
  <c r="E5" i="14"/>
  <c r="G79" i="14"/>
  <c r="H79" i="14"/>
  <c r="I79" i="14" s="1"/>
  <c r="G80" i="14"/>
  <c r="H80" i="14"/>
  <c r="I80" i="14" s="1"/>
  <c r="G81" i="14"/>
  <c r="H81" i="14"/>
  <c r="I81" i="14" s="1"/>
  <c r="G82" i="14"/>
  <c r="H82" i="14"/>
  <c r="I82" i="14" s="1"/>
  <c r="G83" i="14"/>
  <c r="H83" i="14"/>
  <c r="I83" i="14" s="1"/>
  <c r="H78" i="14"/>
  <c r="I78" i="14" s="1"/>
  <c r="G78" i="14"/>
  <c r="E64" i="14"/>
  <c r="G64" i="14" s="1"/>
  <c r="F64" i="14"/>
  <c r="H64" i="14" s="1"/>
  <c r="I64" i="14" s="1"/>
  <c r="E65" i="14"/>
  <c r="G65" i="14" s="1"/>
  <c r="F65" i="14"/>
  <c r="H65" i="14" s="1"/>
  <c r="I65" i="14" s="1"/>
  <c r="E66" i="14"/>
  <c r="G66" i="14" s="1"/>
  <c r="F66" i="14"/>
  <c r="H66" i="14" s="1"/>
  <c r="I66" i="14" s="1"/>
  <c r="E74" i="14"/>
  <c r="G74" i="14" s="1"/>
  <c r="F74" i="14"/>
  <c r="H74" i="14" s="1"/>
  <c r="I74" i="14" s="1"/>
  <c r="F63" i="14"/>
  <c r="H63" i="14" s="1"/>
  <c r="I63" i="14" s="1"/>
  <c r="E63" i="14"/>
  <c r="G63" i="14" s="1"/>
  <c r="F10" i="14"/>
  <c r="E10" i="14"/>
  <c r="J2" i="16" l="1"/>
  <c r="I75" i="14"/>
  <c r="G75" i="14"/>
  <c r="G94" i="14"/>
  <c r="I94" i="14"/>
  <c r="H75" i="14"/>
  <c r="H94" i="14"/>
  <c r="M75" i="14"/>
  <c r="M94" i="14"/>
  <c r="H31" i="14"/>
  <c r="I31" i="14" s="1"/>
  <c r="G39" i="14"/>
  <c r="H39" i="14"/>
  <c r="I39" i="14" s="1"/>
  <c r="E11" i="14"/>
  <c r="F11" i="14"/>
  <c r="E12" i="14"/>
  <c r="F12" i="14"/>
  <c r="E13" i="14"/>
  <c r="F13" i="14"/>
  <c r="E21" i="14"/>
  <c r="F21" i="14"/>
  <c r="B10" i="14"/>
  <c r="F157" i="39"/>
  <c r="F156" i="39"/>
  <c r="F155" i="39"/>
  <c r="F154" i="39"/>
  <c r="F153" i="39"/>
  <c r="F129" i="39"/>
  <c r="F128" i="39"/>
  <c r="F127" i="39"/>
  <c r="F126" i="39"/>
  <c r="F125" i="39"/>
  <c r="F101" i="39"/>
  <c r="F100" i="39"/>
  <c r="F99" i="39"/>
  <c r="F98" i="39"/>
  <c r="F97" i="39"/>
  <c r="F73" i="39"/>
  <c r="F72" i="39"/>
  <c r="F71" i="39"/>
  <c r="F70" i="39"/>
  <c r="F69" i="39"/>
  <c r="F45" i="39"/>
  <c r="F44" i="39"/>
  <c r="F43" i="39"/>
  <c r="F42" i="39"/>
  <c r="F41" i="39"/>
  <c r="F129" i="38"/>
  <c r="F128" i="38"/>
  <c r="F127" i="38"/>
  <c r="F126" i="38"/>
  <c r="F125" i="38"/>
  <c r="F101" i="38"/>
  <c r="F100" i="38"/>
  <c r="F99" i="38"/>
  <c r="F98" i="38"/>
  <c r="F97" i="38"/>
  <c r="F73" i="38"/>
  <c r="F72" i="38"/>
  <c r="F71" i="38"/>
  <c r="F70" i="38"/>
  <c r="F69" i="38"/>
  <c r="F45" i="38"/>
  <c r="F44" i="38"/>
  <c r="F43" i="38"/>
  <c r="F42" i="38"/>
  <c r="F41" i="38"/>
  <c r="F17" i="38"/>
  <c r="F16" i="38"/>
  <c r="F15" i="38"/>
  <c r="F14" i="38"/>
  <c r="F13" i="38"/>
  <c r="F101" i="28"/>
  <c r="H101" i="28" s="1"/>
  <c r="I101" i="28" s="1"/>
  <c r="F100" i="28"/>
  <c r="H100" i="28" s="1"/>
  <c r="I100" i="28" s="1"/>
  <c r="F99" i="28"/>
  <c r="F98" i="28"/>
  <c r="F97" i="28"/>
  <c r="F73" i="28"/>
  <c r="H73" i="28" s="1"/>
  <c r="I73" i="28" s="1"/>
  <c r="F72" i="28"/>
  <c r="H72" i="28" s="1"/>
  <c r="I72" i="28" s="1"/>
  <c r="F71" i="28"/>
  <c r="F70" i="28"/>
  <c r="F69" i="28"/>
  <c r="F45" i="28"/>
  <c r="H45" i="28" s="1"/>
  <c r="I45" i="28" s="1"/>
  <c r="F44" i="28"/>
  <c r="H44" i="28" s="1"/>
  <c r="I44" i="28" s="1"/>
  <c r="F43" i="28"/>
  <c r="F42" i="28"/>
  <c r="F41" i="28"/>
  <c r="E157" i="39"/>
  <c r="E156" i="39"/>
  <c r="E155" i="39"/>
  <c r="E154" i="39"/>
  <c r="E153" i="39"/>
  <c r="E129" i="39"/>
  <c r="E128" i="39"/>
  <c r="E127" i="39"/>
  <c r="E126" i="39"/>
  <c r="E125" i="39"/>
  <c r="E101" i="39"/>
  <c r="E100" i="39"/>
  <c r="E99" i="39"/>
  <c r="E98" i="39"/>
  <c r="E97" i="39"/>
  <c r="E73" i="39"/>
  <c r="E72" i="39"/>
  <c r="E71" i="39"/>
  <c r="E70" i="39"/>
  <c r="E69" i="39"/>
  <c r="E45" i="39"/>
  <c r="E44" i="39"/>
  <c r="E43" i="39"/>
  <c r="E42" i="39"/>
  <c r="E41" i="39"/>
  <c r="E129" i="38"/>
  <c r="E128" i="38"/>
  <c r="E127" i="38"/>
  <c r="E126" i="38"/>
  <c r="E125" i="38"/>
  <c r="E101" i="38"/>
  <c r="E100" i="38"/>
  <c r="E99" i="38"/>
  <c r="E98" i="38"/>
  <c r="E97" i="38"/>
  <c r="E73" i="38"/>
  <c r="E72" i="38"/>
  <c r="E71" i="38"/>
  <c r="E70" i="38"/>
  <c r="E69" i="38"/>
  <c r="E45" i="38"/>
  <c r="E44" i="38"/>
  <c r="E43" i="38"/>
  <c r="E42" i="38"/>
  <c r="E41" i="38"/>
  <c r="E17" i="38"/>
  <c r="E16" i="38"/>
  <c r="E15" i="38"/>
  <c r="E14" i="38"/>
  <c r="E13" i="38"/>
  <c r="E101" i="28"/>
  <c r="G101" i="28" s="1"/>
  <c r="E100" i="28"/>
  <c r="G100" i="28" s="1"/>
  <c r="E99" i="28"/>
  <c r="E98" i="28"/>
  <c r="E97" i="28"/>
  <c r="E73" i="28"/>
  <c r="G73" i="28" s="1"/>
  <c r="E72" i="28"/>
  <c r="G72" i="28" s="1"/>
  <c r="E71" i="28"/>
  <c r="E70" i="28"/>
  <c r="E69" i="28"/>
  <c r="E45" i="28"/>
  <c r="G45" i="28" s="1"/>
  <c r="E44" i="28"/>
  <c r="G44" i="28" s="1"/>
  <c r="E43" i="28"/>
  <c r="E42" i="28"/>
  <c r="E41" i="28"/>
  <c r="E148" i="39"/>
  <c r="E149" i="39" s="1"/>
  <c r="E120" i="39"/>
  <c r="E121" i="39" s="1"/>
  <c r="E92" i="39"/>
  <c r="E93" i="39" s="1"/>
  <c r="E64" i="39"/>
  <c r="E65" i="39" s="1"/>
  <c r="E36" i="39"/>
  <c r="E37" i="39" s="1"/>
  <c r="E8" i="39"/>
  <c r="E9" i="39" s="1"/>
  <c r="E120" i="38"/>
  <c r="C119" i="38"/>
  <c r="E92" i="38"/>
  <c r="C91" i="38"/>
  <c r="E64" i="38"/>
  <c r="C63" i="38"/>
  <c r="E36" i="38"/>
  <c r="C35" i="38"/>
  <c r="E8" i="38"/>
  <c r="E9" i="38" s="1"/>
  <c r="C7" i="38"/>
  <c r="C63" i="28"/>
  <c r="G49" i="28" l="1"/>
  <c r="H49" i="28"/>
  <c r="I49" i="28" s="1"/>
  <c r="H41" i="28"/>
  <c r="G41" i="28"/>
  <c r="H69" i="28"/>
  <c r="I69" i="28" s="1"/>
  <c r="I12" i="16"/>
  <c r="H106" i="28"/>
  <c r="I106" i="28" s="1"/>
  <c r="J29" i="16"/>
  <c r="E37" i="38"/>
  <c r="J31" i="16"/>
  <c r="E93" i="38"/>
  <c r="G69" i="28"/>
  <c r="J30" i="16"/>
  <c r="E65" i="38"/>
  <c r="J32" i="16"/>
  <c r="E121" i="38"/>
  <c r="J50" i="16"/>
  <c r="G140" i="39"/>
  <c r="J49" i="16"/>
  <c r="I48" i="16"/>
  <c r="J48" i="16"/>
  <c r="J47" i="16"/>
  <c r="I46" i="16"/>
  <c r="J46" i="16"/>
  <c r="I45" i="16"/>
  <c r="J45" i="16"/>
  <c r="I28" i="16"/>
  <c r="J28" i="16"/>
  <c r="G365" i="39"/>
  <c r="J365" i="39" s="1"/>
  <c r="L365" i="39" s="1"/>
  <c r="G393" i="39"/>
  <c r="J393" i="39" s="1"/>
  <c r="L393" i="39" s="1"/>
  <c r="G242" i="39"/>
  <c r="J242" i="39" s="1"/>
  <c r="G214" i="39"/>
  <c r="J214" i="39" s="1"/>
  <c r="G281" i="39"/>
  <c r="J281" i="39" s="1"/>
  <c r="L281" i="39" s="1"/>
  <c r="G253" i="39"/>
  <c r="J253" i="39" s="1"/>
  <c r="L253" i="39" s="1"/>
  <c r="G270" i="39"/>
  <c r="J270" i="39" s="1"/>
  <c r="G309" i="39"/>
  <c r="J309" i="39" s="1"/>
  <c r="L309" i="39" s="1"/>
  <c r="G354" i="39"/>
  <c r="J354" i="39" s="1"/>
  <c r="G186" i="39"/>
  <c r="J186" i="39" s="1"/>
  <c r="G382" i="39"/>
  <c r="J382" i="39" s="1"/>
  <c r="G225" i="39"/>
  <c r="J225" i="39" s="1"/>
  <c r="L225" i="39" s="1"/>
  <c r="G298" i="39"/>
  <c r="J298" i="39" s="1"/>
  <c r="G326" i="39"/>
  <c r="J326" i="39" s="1"/>
  <c r="G337" i="39"/>
  <c r="J337" i="39" s="1"/>
  <c r="L337" i="39" s="1"/>
  <c r="G197" i="39"/>
  <c r="J197" i="39" s="1"/>
  <c r="L197" i="39" s="1"/>
  <c r="H73" i="39"/>
  <c r="I73" i="39" s="1"/>
  <c r="G101" i="39"/>
  <c r="G56" i="39"/>
  <c r="H56" i="39"/>
  <c r="I56" i="39" s="1"/>
  <c r="G44" i="39"/>
  <c r="G129" i="39"/>
  <c r="G137" i="39"/>
  <c r="H84" i="39"/>
  <c r="I84" i="39" s="1"/>
  <c r="G84" i="39"/>
  <c r="G45" i="39"/>
  <c r="G72" i="39"/>
  <c r="H44" i="39"/>
  <c r="I44" i="39" s="1"/>
  <c r="H81" i="39"/>
  <c r="I81" i="39" s="1"/>
  <c r="H100" i="39"/>
  <c r="I100" i="39" s="1"/>
  <c r="H140" i="39"/>
  <c r="I140" i="39" s="1"/>
  <c r="G128" i="39"/>
  <c r="H129" i="39"/>
  <c r="I129" i="39" s="1"/>
  <c r="G112" i="39"/>
  <c r="H112" i="39"/>
  <c r="I112" i="39" s="1"/>
  <c r="G73" i="39"/>
  <c r="G100" i="39"/>
  <c r="H45" i="39"/>
  <c r="I45" i="39" s="1"/>
  <c r="H72" i="39"/>
  <c r="I72" i="39" s="1"/>
  <c r="H101" i="39"/>
  <c r="I101" i="39" s="1"/>
  <c r="H128" i="39"/>
  <c r="I128" i="39" s="1"/>
  <c r="H16" i="38"/>
  <c r="I16" i="38" s="1"/>
  <c r="G16" i="38"/>
  <c r="H45" i="38"/>
  <c r="I45" i="38" s="1"/>
  <c r="G17" i="38"/>
  <c r="G44" i="38"/>
  <c r="C34" i="46"/>
  <c r="C38" i="46"/>
  <c r="C42" i="46"/>
  <c r="C46" i="46"/>
  <c r="C54" i="46"/>
  <c r="C62" i="46"/>
  <c r="C66" i="46"/>
  <c r="C70" i="46"/>
  <c r="C78" i="46"/>
  <c r="C82" i="46"/>
  <c r="C86" i="46"/>
  <c r="C90" i="46"/>
  <c r="C94" i="46"/>
  <c r="C98" i="46"/>
  <c r="C102" i="46"/>
  <c r="C110" i="46"/>
  <c r="C114" i="46"/>
  <c r="C118" i="46"/>
  <c r="C122" i="46"/>
  <c r="C126" i="46"/>
  <c r="C130" i="46"/>
  <c r="C134" i="46"/>
  <c r="C9" i="46"/>
  <c r="C13" i="46"/>
  <c r="C17" i="46"/>
  <c r="C25" i="46"/>
  <c r="C36" i="46"/>
  <c r="C40" i="46"/>
  <c r="C44" i="46"/>
  <c r="C52" i="46"/>
  <c r="C56" i="46"/>
  <c r="C64" i="46"/>
  <c r="C68" i="46"/>
  <c r="C72" i="46"/>
  <c r="C80" i="46"/>
  <c r="C84" i="46"/>
  <c r="C88" i="46"/>
  <c r="C92" i="46"/>
  <c r="C96" i="46"/>
  <c r="C104" i="46"/>
  <c r="C108" i="46"/>
  <c r="C120" i="46"/>
  <c r="C124" i="46"/>
  <c r="C132" i="46"/>
  <c r="C31" i="46"/>
  <c r="C41" i="46"/>
  <c r="C49" i="46"/>
  <c r="C57" i="46"/>
  <c r="C65" i="46"/>
  <c r="C73" i="46"/>
  <c r="C81" i="46"/>
  <c r="C97" i="46"/>
  <c r="C121" i="46"/>
  <c r="C129" i="46"/>
  <c r="D129" i="46" s="1"/>
  <c r="E129" i="46" s="1"/>
  <c r="C8" i="46"/>
  <c r="C16" i="46"/>
  <c r="C24" i="46"/>
  <c r="C35" i="46"/>
  <c r="C43" i="46"/>
  <c r="C51" i="46"/>
  <c r="C67" i="46"/>
  <c r="C75" i="46"/>
  <c r="C91" i="46"/>
  <c r="C115" i="46"/>
  <c r="C123" i="46"/>
  <c r="C131" i="46"/>
  <c r="C10" i="46"/>
  <c r="C18" i="46"/>
  <c r="C26" i="46"/>
  <c r="C37" i="46"/>
  <c r="C45" i="46"/>
  <c r="C53" i="46"/>
  <c r="C69" i="46"/>
  <c r="C93" i="46"/>
  <c r="C109" i="46"/>
  <c r="C117" i="46"/>
  <c r="C125" i="46"/>
  <c r="C133" i="46"/>
  <c r="C12" i="46"/>
  <c r="C87" i="46"/>
  <c r="C119" i="46"/>
  <c r="C22" i="46"/>
  <c r="C63" i="46"/>
  <c r="C127" i="46"/>
  <c r="D127" i="46" s="1"/>
  <c r="E127" i="46" s="1"/>
  <c r="C39" i="46"/>
  <c r="C71" i="46"/>
  <c r="C103" i="46"/>
  <c r="C135" i="46"/>
  <c r="C79" i="46"/>
  <c r="C111" i="46"/>
  <c r="G81" i="28"/>
  <c r="G53" i="28"/>
  <c r="C47" i="46"/>
  <c r="G137" i="38"/>
  <c r="G53" i="38"/>
  <c r="G25" i="38"/>
  <c r="H109" i="28"/>
  <c r="I109" i="28" s="1"/>
  <c r="G84" i="28"/>
  <c r="H84" i="28"/>
  <c r="I84" i="28" s="1"/>
  <c r="H56" i="28"/>
  <c r="I56" i="28" s="1"/>
  <c r="G56" i="28"/>
  <c r="H70" i="38"/>
  <c r="I70" i="38" s="1"/>
  <c r="H52" i="38"/>
  <c r="I52" i="38" s="1"/>
  <c r="H54" i="38"/>
  <c r="I54" i="38" s="1"/>
  <c r="G14" i="38"/>
  <c r="H15" i="38"/>
  <c r="I15" i="38" s="1"/>
  <c r="H21" i="38"/>
  <c r="I21" i="38" s="1"/>
  <c r="H23" i="38"/>
  <c r="I23" i="38" s="1"/>
  <c r="H27" i="38"/>
  <c r="I27" i="38" s="1"/>
  <c r="G15" i="38"/>
  <c r="G22" i="38"/>
  <c r="G24" i="38"/>
  <c r="G26" i="38"/>
  <c r="H36" i="14"/>
  <c r="I36" i="14" s="1"/>
  <c r="C50" i="46" s="1"/>
  <c r="G36" i="14"/>
  <c r="G37" i="14"/>
  <c r="H38" i="14"/>
  <c r="I38" i="14" s="1"/>
  <c r="G38" i="14"/>
  <c r="H37" i="14"/>
  <c r="I37" i="14" s="1"/>
  <c r="C48" i="46" s="1"/>
  <c r="G16" i="14"/>
  <c r="G18" i="14"/>
  <c r="H15" i="14"/>
  <c r="I15" i="14" s="1"/>
  <c r="G17" i="14"/>
  <c r="H18" i="14"/>
  <c r="I18" i="14" s="1"/>
  <c r="H17" i="14"/>
  <c r="I17" i="14" s="1"/>
  <c r="G15" i="14"/>
  <c r="H16" i="14"/>
  <c r="I16" i="14" s="1"/>
  <c r="C15" i="46" s="1"/>
  <c r="G14" i="14"/>
  <c r="H14" i="14"/>
  <c r="I14" i="14" s="1"/>
  <c r="C27" i="46" s="1"/>
  <c r="H13" i="14"/>
  <c r="I13" i="14" s="1"/>
  <c r="H11" i="14"/>
  <c r="I11" i="14" s="1"/>
  <c r="H10" i="14"/>
  <c r="H35" i="14"/>
  <c r="I35" i="14" s="1"/>
  <c r="G35" i="14"/>
  <c r="H30" i="14"/>
  <c r="I30" i="14" s="1"/>
  <c r="H28" i="14"/>
  <c r="I28" i="14" s="1"/>
  <c r="H27" i="14"/>
  <c r="I27" i="14" s="1"/>
  <c r="C55" i="46" s="1"/>
  <c r="H26" i="14"/>
  <c r="I26" i="14" s="1"/>
  <c r="G21" i="14"/>
  <c r="G12" i="14"/>
  <c r="G30" i="14"/>
  <c r="G28" i="14"/>
  <c r="G27" i="14"/>
  <c r="G26" i="14"/>
  <c r="G13" i="14"/>
  <c r="G11" i="14"/>
  <c r="G29" i="14"/>
  <c r="G32" i="14"/>
  <c r="H32" i="14"/>
  <c r="I32" i="14" s="1"/>
  <c r="H33" i="14"/>
  <c r="I33" i="14" s="1"/>
  <c r="H34" i="14"/>
  <c r="I34" i="14" s="1"/>
  <c r="G34" i="14"/>
  <c r="G33" i="14"/>
  <c r="H21" i="14"/>
  <c r="I21" i="14" s="1"/>
  <c r="H12" i="14"/>
  <c r="I12" i="14" s="1"/>
  <c r="G31" i="14"/>
  <c r="H29" i="14"/>
  <c r="I29" i="14" s="1"/>
  <c r="G107" i="38"/>
  <c r="G82" i="38"/>
  <c r="H42" i="38"/>
  <c r="I42" i="38" s="1"/>
  <c r="G55" i="38"/>
  <c r="G42" i="38"/>
  <c r="H51" i="38"/>
  <c r="I51" i="38" s="1"/>
  <c r="H55" i="38"/>
  <c r="I55" i="38" s="1"/>
  <c r="G52" i="38"/>
  <c r="G54" i="38"/>
  <c r="H13" i="38"/>
  <c r="I13" i="38" s="1"/>
  <c r="H22" i="38"/>
  <c r="I22" i="38" s="1"/>
  <c r="H24" i="38"/>
  <c r="I24" i="38" s="1"/>
  <c r="H26" i="38"/>
  <c r="I26" i="38" s="1"/>
  <c r="G13" i="38"/>
  <c r="H14" i="38"/>
  <c r="I14" i="38" s="1"/>
  <c r="G21" i="38"/>
  <c r="G23" i="38"/>
  <c r="G27" i="38"/>
  <c r="H42" i="39"/>
  <c r="I42" i="39" s="1"/>
  <c r="G139" i="39"/>
  <c r="G136" i="39"/>
  <c r="H138" i="39"/>
  <c r="I138" i="39" s="1"/>
  <c r="G82" i="39"/>
  <c r="G71" i="39"/>
  <c r="H80" i="39"/>
  <c r="I80" i="39" s="1"/>
  <c r="H83" i="39"/>
  <c r="I83" i="39" s="1"/>
  <c r="H43" i="39"/>
  <c r="I43" i="39" s="1"/>
  <c r="G50" i="39"/>
  <c r="C74" i="46"/>
  <c r="G127" i="38"/>
  <c r="G135" i="38"/>
  <c r="H133" i="38"/>
  <c r="I133" i="38" s="1"/>
  <c r="H136" i="38"/>
  <c r="I136" i="38" s="1"/>
  <c r="G136" i="38"/>
  <c r="H111" i="28"/>
  <c r="I111" i="28" s="1"/>
  <c r="G110" i="28"/>
  <c r="H110" i="28"/>
  <c r="I110" i="28" s="1"/>
  <c r="G111" i="28"/>
  <c r="G70" i="28"/>
  <c r="G78" i="28"/>
  <c r="G71" i="28"/>
  <c r="H82" i="28"/>
  <c r="I82" i="28" s="1"/>
  <c r="H70" i="28"/>
  <c r="I70" i="28" s="1"/>
  <c r="G83" i="28"/>
  <c r="H83" i="28"/>
  <c r="I83" i="28" s="1"/>
  <c r="G55" i="28"/>
  <c r="G43" i="28"/>
  <c r="H54" i="28"/>
  <c r="I54" i="28" s="1"/>
  <c r="G50" i="28"/>
  <c r="G10" i="14"/>
  <c r="I2" i="16"/>
  <c r="H125" i="39"/>
  <c r="I125" i="39" s="1"/>
  <c r="M106" i="14"/>
  <c r="H25" i="14"/>
  <c r="G25" i="14"/>
  <c r="G125" i="5"/>
  <c r="H125" i="5" s="1"/>
  <c r="I125" i="5" s="1"/>
  <c r="F125" i="5"/>
  <c r="G124" i="5"/>
  <c r="H124" i="5" s="1"/>
  <c r="I124" i="5" s="1"/>
  <c r="F124" i="5"/>
  <c r="G123" i="5"/>
  <c r="H123" i="5" s="1"/>
  <c r="I123" i="5" s="1"/>
  <c r="F123" i="5"/>
  <c r="G122" i="5"/>
  <c r="H122" i="5" s="1"/>
  <c r="I122" i="5" s="1"/>
  <c r="F122" i="5"/>
  <c r="G121" i="5"/>
  <c r="H121" i="5" s="1"/>
  <c r="I121" i="5" s="1"/>
  <c r="F121" i="5"/>
  <c r="G120" i="5"/>
  <c r="H120" i="5" s="1"/>
  <c r="I120" i="5" s="1"/>
  <c r="F120" i="5"/>
  <c r="G119" i="5"/>
  <c r="H119" i="5" s="1"/>
  <c r="I119" i="5" s="1"/>
  <c r="F119" i="5"/>
  <c r="G115" i="5"/>
  <c r="H115" i="5" s="1"/>
  <c r="I115" i="5" s="1"/>
  <c r="F115" i="5"/>
  <c r="G114" i="5"/>
  <c r="H114" i="5" s="1"/>
  <c r="I114" i="5" s="1"/>
  <c r="F114" i="5"/>
  <c r="G113" i="5"/>
  <c r="H113" i="5" s="1"/>
  <c r="I113" i="5" s="1"/>
  <c r="F113" i="5"/>
  <c r="G112" i="5"/>
  <c r="H112" i="5" s="1"/>
  <c r="I112" i="5" s="1"/>
  <c r="F112" i="5"/>
  <c r="G111" i="5"/>
  <c r="H111" i="5" s="1"/>
  <c r="I111" i="5" s="1"/>
  <c r="F111" i="5"/>
  <c r="G110" i="5"/>
  <c r="H110" i="5" s="1"/>
  <c r="I110" i="5" s="1"/>
  <c r="F110" i="5"/>
  <c r="G109" i="5"/>
  <c r="H109" i="5" s="1"/>
  <c r="I109" i="5" s="1"/>
  <c r="F109" i="5"/>
  <c r="G105" i="5"/>
  <c r="H105" i="5" s="1"/>
  <c r="I105" i="5" s="1"/>
  <c r="F105" i="5"/>
  <c r="G104" i="5"/>
  <c r="H104" i="5" s="1"/>
  <c r="I104" i="5" s="1"/>
  <c r="F104" i="5"/>
  <c r="G103" i="5"/>
  <c r="H103" i="5" s="1"/>
  <c r="I103" i="5" s="1"/>
  <c r="F103" i="5"/>
  <c r="G102" i="5"/>
  <c r="H102" i="5" s="1"/>
  <c r="I102" i="5" s="1"/>
  <c r="F102" i="5"/>
  <c r="G101" i="5"/>
  <c r="H101" i="5" s="1"/>
  <c r="I101" i="5" s="1"/>
  <c r="F101" i="5"/>
  <c r="G100" i="5"/>
  <c r="H100" i="5" s="1"/>
  <c r="I100" i="5" s="1"/>
  <c r="F100" i="5"/>
  <c r="G99" i="5"/>
  <c r="H99" i="5" s="1"/>
  <c r="I99" i="5" s="1"/>
  <c r="F99" i="5"/>
  <c r="G98" i="5"/>
  <c r="H98" i="5" s="1"/>
  <c r="F98" i="5"/>
  <c r="G94" i="5"/>
  <c r="H94" i="5" s="1"/>
  <c r="I94" i="5" s="1"/>
  <c r="F94" i="5"/>
  <c r="G93" i="5"/>
  <c r="H93" i="5" s="1"/>
  <c r="I93" i="5" s="1"/>
  <c r="F93" i="5"/>
  <c r="G75" i="5"/>
  <c r="H75" i="5" s="1"/>
  <c r="F75" i="5"/>
  <c r="G71" i="5"/>
  <c r="H71" i="5" s="1"/>
  <c r="I71" i="5" s="1"/>
  <c r="F71" i="5"/>
  <c r="G70" i="5"/>
  <c r="H70" i="5" s="1"/>
  <c r="I70" i="5" s="1"/>
  <c r="F70" i="5"/>
  <c r="G66" i="5"/>
  <c r="H66" i="5" s="1"/>
  <c r="I66" i="5" s="1"/>
  <c r="F66" i="5"/>
  <c r="G61" i="5"/>
  <c r="H61" i="5" s="1"/>
  <c r="I61" i="5" s="1"/>
  <c r="F61" i="5"/>
  <c r="O61" i="5" s="1"/>
  <c r="G57" i="5"/>
  <c r="H57" i="5" s="1"/>
  <c r="I57" i="5" s="1"/>
  <c r="F57" i="5"/>
  <c r="G53" i="5"/>
  <c r="H53" i="5" s="1"/>
  <c r="I53" i="5" s="1"/>
  <c r="F53" i="5"/>
  <c r="G52" i="5"/>
  <c r="H52" i="5" s="1"/>
  <c r="I52" i="5" s="1"/>
  <c r="F52" i="5"/>
  <c r="G51" i="5"/>
  <c r="H51" i="5" s="1"/>
  <c r="I51" i="5" s="1"/>
  <c r="F51" i="5"/>
  <c r="G44" i="5"/>
  <c r="H44" i="5" s="1"/>
  <c r="F44" i="5"/>
  <c r="G40" i="5"/>
  <c r="H40" i="5" s="1"/>
  <c r="I40" i="5" s="1"/>
  <c r="F40" i="5"/>
  <c r="G39" i="5"/>
  <c r="H39" i="5" s="1"/>
  <c r="I39" i="5" s="1"/>
  <c r="F39" i="5"/>
  <c r="G38" i="5"/>
  <c r="H38" i="5" s="1"/>
  <c r="I38" i="5" s="1"/>
  <c r="F38" i="5"/>
  <c r="G16" i="5"/>
  <c r="H16" i="5" s="1"/>
  <c r="I16" i="5" s="1"/>
  <c r="F16" i="5"/>
  <c r="G15" i="5"/>
  <c r="H15" i="5" s="1"/>
  <c r="F15" i="5"/>
  <c r="G11" i="5"/>
  <c r="H11" i="5" s="1"/>
  <c r="I11" i="5" s="1"/>
  <c r="F11" i="5"/>
  <c r="G10" i="5"/>
  <c r="H10" i="5" s="1"/>
  <c r="I10" i="5" s="1"/>
  <c r="F10" i="5"/>
  <c r="G9" i="5"/>
  <c r="H9" i="5" s="1"/>
  <c r="I9" i="5" s="1"/>
  <c r="F9" i="5"/>
  <c r="G8" i="5"/>
  <c r="H8" i="5" s="1"/>
  <c r="I8" i="5" s="1"/>
  <c r="F8" i="5"/>
  <c r="G7" i="5"/>
  <c r="H7" i="5" s="1"/>
  <c r="I7" i="5" s="1"/>
  <c r="F7" i="5"/>
  <c r="G6" i="5"/>
  <c r="H6" i="5" s="1"/>
  <c r="I6" i="5" s="1"/>
  <c r="F6" i="5"/>
  <c r="G5" i="5"/>
  <c r="H5" i="5" s="1"/>
  <c r="I5" i="5" s="1"/>
  <c r="F5" i="5"/>
  <c r="G88" i="44"/>
  <c r="H88" i="44" s="1"/>
  <c r="I88" i="44" s="1"/>
  <c r="F88" i="44"/>
  <c r="G87" i="44"/>
  <c r="H87" i="44" s="1"/>
  <c r="I87" i="44" s="1"/>
  <c r="F87" i="44"/>
  <c r="G86" i="44"/>
  <c r="H86" i="44" s="1"/>
  <c r="I86" i="44" s="1"/>
  <c r="F86" i="44"/>
  <c r="G85" i="44"/>
  <c r="H85" i="44" s="1"/>
  <c r="I85" i="44" s="1"/>
  <c r="F85" i="44"/>
  <c r="G84" i="44"/>
  <c r="H84" i="44" s="1"/>
  <c r="I84" i="44" s="1"/>
  <c r="F84" i="44"/>
  <c r="G83" i="44"/>
  <c r="H83" i="44" s="1"/>
  <c r="I83" i="44" s="1"/>
  <c r="F83" i="44"/>
  <c r="G82" i="44"/>
  <c r="H82" i="44" s="1"/>
  <c r="I82" i="44" s="1"/>
  <c r="F82" i="44"/>
  <c r="G81" i="44"/>
  <c r="H81" i="44" s="1"/>
  <c r="F81" i="44"/>
  <c r="G77" i="44"/>
  <c r="H77" i="44" s="1"/>
  <c r="I77" i="44" s="1"/>
  <c r="F77" i="44"/>
  <c r="G76" i="44"/>
  <c r="H76" i="44" s="1"/>
  <c r="I76" i="44" s="1"/>
  <c r="F76" i="44"/>
  <c r="G75" i="44"/>
  <c r="H75" i="44" s="1"/>
  <c r="I75" i="44" s="1"/>
  <c r="F75" i="44"/>
  <c r="G74" i="44"/>
  <c r="H74" i="44" s="1"/>
  <c r="I74" i="44" s="1"/>
  <c r="F74" i="44"/>
  <c r="G73" i="44"/>
  <c r="H73" i="44" s="1"/>
  <c r="I73" i="44" s="1"/>
  <c r="F73" i="44"/>
  <c r="G72" i="44"/>
  <c r="H72" i="44" s="1"/>
  <c r="I72" i="44" s="1"/>
  <c r="F72" i="44"/>
  <c r="G71" i="44"/>
  <c r="H71" i="44" s="1"/>
  <c r="I71" i="44" s="1"/>
  <c r="F71" i="44"/>
  <c r="G70" i="44"/>
  <c r="H70" i="44" s="1"/>
  <c r="F70" i="44"/>
  <c r="G66" i="44"/>
  <c r="H66" i="44" s="1"/>
  <c r="I66" i="44" s="1"/>
  <c r="F66" i="44"/>
  <c r="G65" i="44"/>
  <c r="H65" i="44" s="1"/>
  <c r="I65" i="44" s="1"/>
  <c r="F65" i="44"/>
  <c r="G64" i="44"/>
  <c r="H64" i="44" s="1"/>
  <c r="I64" i="44" s="1"/>
  <c r="F64" i="44"/>
  <c r="G63" i="44"/>
  <c r="H63" i="44" s="1"/>
  <c r="I63" i="44" s="1"/>
  <c r="F63" i="44"/>
  <c r="G62" i="44"/>
  <c r="H62" i="44" s="1"/>
  <c r="I62" i="44" s="1"/>
  <c r="F62" i="44"/>
  <c r="G61" i="44"/>
  <c r="H61" i="44" s="1"/>
  <c r="I61" i="44" s="1"/>
  <c r="F61" i="44"/>
  <c r="G60" i="44"/>
  <c r="H60" i="44" s="1"/>
  <c r="I60" i="44" s="1"/>
  <c r="F60" i="44"/>
  <c r="G59" i="44"/>
  <c r="H59" i="44" s="1"/>
  <c r="F59" i="44"/>
  <c r="G55" i="44"/>
  <c r="H55" i="44" s="1"/>
  <c r="I55" i="44" s="1"/>
  <c r="F55" i="44"/>
  <c r="G54" i="44"/>
  <c r="H54" i="44" s="1"/>
  <c r="I54" i="44" s="1"/>
  <c r="F54" i="44"/>
  <c r="G53" i="44"/>
  <c r="H53" i="44" s="1"/>
  <c r="I53" i="44" s="1"/>
  <c r="F53" i="44"/>
  <c r="G52" i="44"/>
  <c r="H52" i="44" s="1"/>
  <c r="I52" i="44" s="1"/>
  <c r="F52" i="44"/>
  <c r="G51" i="44"/>
  <c r="H51" i="44" s="1"/>
  <c r="I51" i="44" s="1"/>
  <c r="F51" i="44"/>
  <c r="G50" i="44"/>
  <c r="H50" i="44" s="1"/>
  <c r="I50" i="44" s="1"/>
  <c r="F50" i="44"/>
  <c r="G49" i="44"/>
  <c r="H49" i="44" s="1"/>
  <c r="I49" i="44" s="1"/>
  <c r="F49" i="44"/>
  <c r="G48" i="44"/>
  <c r="H48" i="44" s="1"/>
  <c r="F48" i="44"/>
  <c r="G44" i="44"/>
  <c r="H44" i="44" s="1"/>
  <c r="I44" i="44" s="1"/>
  <c r="F44" i="44"/>
  <c r="G43" i="44"/>
  <c r="H43" i="44" s="1"/>
  <c r="I43" i="44" s="1"/>
  <c r="F43" i="44"/>
  <c r="G42" i="44"/>
  <c r="H42" i="44" s="1"/>
  <c r="I42" i="44" s="1"/>
  <c r="F42" i="44"/>
  <c r="G41" i="44"/>
  <c r="H41" i="44" s="1"/>
  <c r="I41" i="44" s="1"/>
  <c r="F41" i="44"/>
  <c r="G40" i="44"/>
  <c r="H40" i="44" s="1"/>
  <c r="I40" i="44" s="1"/>
  <c r="F40" i="44"/>
  <c r="G39" i="44"/>
  <c r="H39" i="44" s="1"/>
  <c r="I39" i="44" s="1"/>
  <c r="F39" i="44"/>
  <c r="G38" i="44"/>
  <c r="H38" i="44" s="1"/>
  <c r="I38" i="44" s="1"/>
  <c r="F38" i="44"/>
  <c r="G37" i="44"/>
  <c r="H37" i="44" s="1"/>
  <c r="F37" i="44"/>
  <c r="G33" i="44"/>
  <c r="H33" i="44" s="1"/>
  <c r="I33" i="44" s="1"/>
  <c r="F33" i="44"/>
  <c r="G32" i="44"/>
  <c r="H32" i="44" s="1"/>
  <c r="I32" i="44" s="1"/>
  <c r="F32" i="44"/>
  <c r="G31" i="44"/>
  <c r="H31" i="44" s="1"/>
  <c r="I31" i="44" s="1"/>
  <c r="F31" i="44"/>
  <c r="G30" i="44"/>
  <c r="H30" i="44" s="1"/>
  <c r="I30" i="44" s="1"/>
  <c r="F30" i="44"/>
  <c r="G29" i="44"/>
  <c r="H29" i="44" s="1"/>
  <c r="I29" i="44" s="1"/>
  <c r="F29" i="44"/>
  <c r="G28" i="44"/>
  <c r="H28" i="44" s="1"/>
  <c r="I28" i="44" s="1"/>
  <c r="F28" i="44"/>
  <c r="G27" i="44"/>
  <c r="H27" i="44" s="1"/>
  <c r="I27" i="44" s="1"/>
  <c r="F27" i="44"/>
  <c r="G26" i="44"/>
  <c r="H26" i="44" s="1"/>
  <c r="F26" i="44"/>
  <c r="G22" i="44"/>
  <c r="H22" i="44" s="1"/>
  <c r="I22" i="44" s="1"/>
  <c r="F22" i="44"/>
  <c r="G21" i="44"/>
  <c r="H21" i="44" s="1"/>
  <c r="I21" i="44" s="1"/>
  <c r="F21" i="44"/>
  <c r="G20" i="44"/>
  <c r="H20" i="44" s="1"/>
  <c r="I20" i="44" s="1"/>
  <c r="F20" i="44"/>
  <c r="G19" i="44"/>
  <c r="H19" i="44" s="1"/>
  <c r="I19" i="44" s="1"/>
  <c r="F19" i="44"/>
  <c r="G18" i="44"/>
  <c r="H18" i="44" s="1"/>
  <c r="I18" i="44" s="1"/>
  <c r="F18" i="44"/>
  <c r="G17" i="44"/>
  <c r="H17" i="44" s="1"/>
  <c r="I17" i="44" s="1"/>
  <c r="F17" i="44"/>
  <c r="G16" i="44"/>
  <c r="H16" i="44" s="1"/>
  <c r="I16" i="44" s="1"/>
  <c r="F16" i="44"/>
  <c r="G15" i="44"/>
  <c r="H15" i="44" s="1"/>
  <c r="F15" i="44"/>
  <c r="F5" i="44"/>
  <c r="G5" i="44"/>
  <c r="H5" i="44" s="1"/>
  <c r="I5" i="44" s="1"/>
  <c r="F6" i="44"/>
  <c r="G6" i="44"/>
  <c r="H6" i="44" s="1"/>
  <c r="I6" i="44" s="1"/>
  <c r="F7" i="44"/>
  <c r="G7" i="44"/>
  <c r="H7" i="44" s="1"/>
  <c r="I7" i="44" s="1"/>
  <c r="F8" i="44"/>
  <c r="G8" i="44"/>
  <c r="H8" i="44" s="1"/>
  <c r="I8" i="44" s="1"/>
  <c r="F9" i="44"/>
  <c r="G9" i="44"/>
  <c r="H9" i="44" s="1"/>
  <c r="I9" i="44" s="1"/>
  <c r="F10" i="44"/>
  <c r="G10" i="44"/>
  <c r="H10" i="44" s="1"/>
  <c r="I10" i="44" s="1"/>
  <c r="F11" i="44"/>
  <c r="G11" i="44"/>
  <c r="H11" i="44" s="1"/>
  <c r="I11" i="44" s="1"/>
  <c r="F83" i="45"/>
  <c r="G83" i="45"/>
  <c r="H83" i="45" s="1"/>
  <c r="I83" i="45" s="1"/>
  <c r="F84" i="45"/>
  <c r="G84" i="45"/>
  <c r="H84" i="45" s="1"/>
  <c r="I84" i="45" s="1"/>
  <c r="F85" i="45"/>
  <c r="G85" i="45"/>
  <c r="H85" i="45" s="1"/>
  <c r="I85" i="45" s="1"/>
  <c r="F86" i="45"/>
  <c r="G86" i="45"/>
  <c r="H86" i="45" s="1"/>
  <c r="I86" i="45" s="1"/>
  <c r="F87" i="45"/>
  <c r="G87" i="45"/>
  <c r="H87" i="45" s="1"/>
  <c r="I87" i="45" s="1"/>
  <c r="F88" i="45"/>
  <c r="G88" i="45"/>
  <c r="H88" i="45" s="1"/>
  <c r="I88" i="45" s="1"/>
  <c r="F89" i="45"/>
  <c r="G89" i="45"/>
  <c r="H89" i="45" s="1"/>
  <c r="I89" i="45" s="1"/>
  <c r="F72" i="45"/>
  <c r="G72" i="45"/>
  <c r="H72" i="45" s="1"/>
  <c r="I72" i="45" s="1"/>
  <c r="F73" i="45"/>
  <c r="G73" i="45"/>
  <c r="H73" i="45" s="1"/>
  <c r="I73" i="45" s="1"/>
  <c r="F74" i="45"/>
  <c r="G74" i="45"/>
  <c r="H74" i="45" s="1"/>
  <c r="I74" i="45" s="1"/>
  <c r="F75" i="45"/>
  <c r="G75" i="45"/>
  <c r="H75" i="45" s="1"/>
  <c r="I75" i="45" s="1"/>
  <c r="F76" i="45"/>
  <c r="G76" i="45"/>
  <c r="H76" i="45" s="1"/>
  <c r="I76" i="45" s="1"/>
  <c r="F77" i="45"/>
  <c r="G77" i="45"/>
  <c r="H77" i="45" s="1"/>
  <c r="I77" i="45" s="1"/>
  <c r="F78" i="45"/>
  <c r="G78" i="45"/>
  <c r="H78" i="45" s="1"/>
  <c r="I78" i="45" s="1"/>
  <c r="F61" i="45"/>
  <c r="G61" i="45"/>
  <c r="H61" i="45" s="1"/>
  <c r="I61" i="45" s="1"/>
  <c r="F62" i="45"/>
  <c r="G62" i="45"/>
  <c r="H62" i="45" s="1"/>
  <c r="I62" i="45" s="1"/>
  <c r="F63" i="45"/>
  <c r="G63" i="45"/>
  <c r="H63" i="45" s="1"/>
  <c r="I63" i="45" s="1"/>
  <c r="F64" i="45"/>
  <c r="G64" i="45"/>
  <c r="H64" i="45" s="1"/>
  <c r="I64" i="45" s="1"/>
  <c r="F65" i="45"/>
  <c r="G65" i="45"/>
  <c r="H65" i="45" s="1"/>
  <c r="I65" i="45" s="1"/>
  <c r="F66" i="45"/>
  <c r="G66" i="45"/>
  <c r="H66" i="45" s="1"/>
  <c r="I66" i="45" s="1"/>
  <c r="F67" i="45"/>
  <c r="G67" i="45"/>
  <c r="H67" i="45" s="1"/>
  <c r="I67" i="45" s="1"/>
  <c r="F50" i="45"/>
  <c r="G50" i="45"/>
  <c r="H50" i="45" s="1"/>
  <c r="I50" i="45" s="1"/>
  <c r="F51" i="45"/>
  <c r="G51" i="45"/>
  <c r="H51" i="45" s="1"/>
  <c r="I51" i="45" s="1"/>
  <c r="F52" i="45"/>
  <c r="G52" i="45"/>
  <c r="H52" i="45" s="1"/>
  <c r="I52" i="45" s="1"/>
  <c r="F53" i="45"/>
  <c r="G53" i="45"/>
  <c r="H53" i="45" s="1"/>
  <c r="I53" i="45" s="1"/>
  <c r="F54" i="45"/>
  <c r="G54" i="45"/>
  <c r="H54" i="45" s="1"/>
  <c r="I54" i="45" s="1"/>
  <c r="F55" i="45"/>
  <c r="G55" i="45"/>
  <c r="H55" i="45" s="1"/>
  <c r="I55" i="45" s="1"/>
  <c r="F56" i="45"/>
  <c r="G56" i="45"/>
  <c r="H56" i="45" s="1"/>
  <c r="I56" i="45" s="1"/>
  <c r="F39" i="45"/>
  <c r="G39" i="45"/>
  <c r="H39" i="45" s="1"/>
  <c r="I39" i="45" s="1"/>
  <c r="F40" i="45"/>
  <c r="G40" i="45"/>
  <c r="H40" i="45" s="1"/>
  <c r="I40" i="45" s="1"/>
  <c r="F41" i="45"/>
  <c r="G41" i="45"/>
  <c r="H41" i="45" s="1"/>
  <c r="I41" i="45" s="1"/>
  <c r="F42" i="45"/>
  <c r="G42" i="45"/>
  <c r="H42" i="45" s="1"/>
  <c r="I42" i="45" s="1"/>
  <c r="F43" i="45"/>
  <c r="G43" i="45"/>
  <c r="H43" i="45" s="1"/>
  <c r="I43" i="45" s="1"/>
  <c r="F44" i="45"/>
  <c r="G44" i="45"/>
  <c r="H44" i="45" s="1"/>
  <c r="I44" i="45" s="1"/>
  <c r="F45" i="45"/>
  <c r="G45" i="45"/>
  <c r="H45" i="45" s="1"/>
  <c r="I45" i="45" s="1"/>
  <c r="F28" i="45"/>
  <c r="G28" i="45"/>
  <c r="H28" i="45" s="1"/>
  <c r="I28" i="45" s="1"/>
  <c r="F29" i="45"/>
  <c r="G29" i="45"/>
  <c r="H29" i="45" s="1"/>
  <c r="I29" i="45" s="1"/>
  <c r="F30" i="45"/>
  <c r="G30" i="45"/>
  <c r="H30" i="45" s="1"/>
  <c r="I30" i="45" s="1"/>
  <c r="F31" i="45"/>
  <c r="G31" i="45"/>
  <c r="H31" i="45" s="1"/>
  <c r="I31" i="45" s="1"/>
  <c r="F32" i="45"/>
  <c r="G32" i="45"/>
  <c r="H32" i="45" s="1"/>
  <c r="I32" i="45" s="1"/>
  <c r="F33" i="45"/>
  <c r="G33" i="45"/>
  <c r="H33" i="45" s="1"/>
  <c r="I33" i="45" s="1"/>
  <c r="F34" i="45"/>
  <c r="G34" i="45"/>
  <c r="H34" i="45" s="1"/>
  <c r="I34" i="45" s="1"/>
  <c r="F17" i="45"/>
  <c r="G17" i="45"/>
  <c r="H17" i="45" s="1"/>
  <c r="I17" i="45" s="1"/>
  <c r="F18" i="45"/>
  <c r="G18" i="45"/>
  <c r="H18" i="45" s="1"/>
  <c r="I18" i="45" s="1"/>
  <c r="F19" i="45"/>
  <c r="G19" i="45"/>
  <c r="H19" i="45" s="1"/>
  <c r="I19" i="45" s="1"/>
  <c r="F20" i="45"/>
  <c r="G20" i="45"/>
  <c r="H20" i="45" s="1"/>
  <c r="I20" i="45" s="1"/>
  <c r="F21" i="45"/>
  <c r="G21" i="45"/>
  <c r="H21" i="45" s="1"/>
  <c r="I21" i="45" s="1"/>
  <c r="F22" i="45"/>
  <c r="G22" i="45"/>
  <c r="H22" i="45" s="1"/>
  <c r="I22" i="45" s="1"/>
  <c r="F23" i="45"/>
  <c r="G23" i="45"/>
  <c r="H23" i="45" s="1"/>
  <c r="I23" i="45" s="1"/>
  <c r="G82" i="45"/>
  <c r="H82" i="45" s="1"/>
  <c r="I82" i="45" s="1"/>
  <c r="F82" i="45"/>
  <c r="G71" i="45"/>
  <c r="H71" i="45" s="1"/>
  <c r="I71" i="45" s="1"/>
  <c r="F71" i="45"/>
  <c r="G60" i="45"/>
  <c r="H60" i="45" s="1"/>
  <c r="I60" i="45" s="1"/>
  <c r="F60" i="45"/>
  <c r="G49" i="45"/>
  <c r="H49" i="45" s="1"/>
  <c r="I49" i="45" s="1"/>
  <c r="F49" i="45"/>
  <c r="G38" i="45"/>
  <c r="H38" i="45" s="1"/>
  <c r="I38" i="45" s="1"/>
  <c r="F38" i="45"/>
  <c r="G27" i="45"/>
  <c r="H27" i="45" s="1"/>
  <c r="I27" i="45" s="1"/>
  <c r="F27" i="45"/>
  <c r="G16" i="45"/>
  <c r="H16" i="45" s="1"/>
  <c r="I16" i="45" s="1"/>
  <c r="F16" i="45"/>
  <c r="G7" i="45"/>
  <c r="G8" i="45"/>
  <c r="G9" i="45"/>
  <c r="G10" i="45"/>
  <c r="C76" i="46" l="1"/>
  <c r="C116" i="46"/>
  <c r="C95" i="46"/>
  <c r="O93" i="5"/>
  <c r="J104" i="5"/>
  <c r="F72" i="5"/>
  <c r="J72" i="5" s="1"/>
  <c r="H72" i="5"/>
  <c r="G72" i="5"/>
  <c r="J70" i="5"/>
  <c r="J10" i="5"/>
  <c r="J42" i="16"/>
  <c r="J25" i="16"/>
  <c r="H81" i="28"/>
  <c r="I81" i="28" s="1"/>
  <c r="H79" i="28"/>
  <c r="I79" i="28" s="1"/>
  <c r="I14" i="16"/>
  <c r="G105" i="28"/>
  <c r="H105" i="28"/>
  <c r="I105" i="28" s="1"/>
  <c r="G106" i="28"/>
  <c r="H97" i="28"/>
  <c r="I97" i="28" s="1"/>
  <c r="G97" i="28"/>
  <c r="I13" i="16"/>
  <c r="K13" i="16" s="1"/>
  <c r="H77" i="28"/>
  <c r="I77" i="28" s="1"/>
  <c r="G77" i="28"/>
  <c r="K12" i="16"/>
  <c r="G162" i="39"/>
  <c r="G164" i="39"/>
  <c r="G166" i="39"/>
  <c r="G168" i="39"/>
  <c r="H161" i="39"/>
  <c r="I161" i="39" s="1"/>
  <c r="G165" i="39"/>
  <c r="G161" i="39"/>
  <c r="H165" i="39"/>
  <c r="I165" i="39" s="1"/>
  <c r="I50" i="16"/>
  <c r="K50" i="16" s="1"/>
  <c r="H162" i="39"/>
  <c r="I162" i="39" s="1"/>
  <c r="H164" i="39"/>
  <c r="I164" i="39" s="1"/>
  <c r="H166" i="39"/>
  <c r="I166" i="39" s="1"/>
  <c r="H168" i="39"/>
  <c r="I168" i="39" s="1"/>
  <c r="G163" i="39"/>
  <c r="G167" i="39"/>
  <c r="H163" i="39"/>
  <c r="I163" i="39" s="1"/>
  <c r="H167" i="39"/>
  <c r="I167" i="39" s="1"/>
  <c r="H137" i="39"/>
  <c r="I137" i="39" s="1"/>
  <c r="I49" i="16"/>
  <c r="K49" i="16" s="1"/>
  <c r="K48" i="16"/>
  <c r="G81" i="39"/>
  <c r="I47" i="16"/>
  <c r="K47" i="16" s="1"/>
  <c r="K46" i="16"/>
  <c r="K45" i="16"/>
  <c r="G139" i="38"/>
  <c r="I32" i="16"/>
  <c r="K32" i="16" s="1"/>
  <c r="H101" i="38"/>
  <c r="I101" i="38" s="1"/>
  <c r="I31" i="16"/>
  <c r="K31" i="16" s="1"/>
  <c r="G108" i="38"/>
  <c r="G70" i="38"/>
  <c r="I30" i="16"/>
  <c r="K30" i="16" s="1"/>
  <c r="H41" i="38"/>
  <c r="I41" i="38" s="1"/>
  <c r="I29" i="16"/>
  <c r="K29" i="16" s="1"/>
  <c r="K28" i="16"/>
  <c r="H281" i="39"/>
  <c r="H242" i="39"/>
  <c r="L382" i="39"/>
  <c r="J394" i="39"/>
  <c r="H186" i="39"/>
  <c r="H309" i="39"/>
  <c r="H326" i="39"/>
  <c r="J254" i="39"/>
  <c r="L242" i="39"/>
  <c r="H298" i="39"/>
  <c r="J310" i="39"/>
  <c r="L298" i="39"/>
  <c r="H365" i="39"/>
  <c r="H214" i="39"/>
  <c r="H354" i="39"/>
  <c r="L186" i="39"/>
  <c r="J198" i="39"/>
  <c r="H197" i="39"/>
  <c r="J366" i="39"/>
  <c r="L366" i="39" s="1"/>
  <c r="L354" i="39"/>
  <c r="H270" i="39"/>
  <c r="H225" i="39"/>
  <c r="H382" i="39"/>
  <c r="L326" i="39"/>
  <c r="J338" i="39"/>
  <c r="H337" i="39"/>
  <c r="H253" i="39"/>
  <c r="L270" i="39"/>
  <c r="J282" i="39"/>
  <c r="J226" i="39"/>
  <c r="L214" i="39"/>
  <c r="H393" i="39"/>
  <c r="G138" i="38"/>
  <c r="H135" i="38"/>
  <c r="I135" i="38" s="1"/>
  <c r="H134" i="38"/>
  <c r="I134" i="38" s="1"/>
  <c r="G133" i="38"/>
  <c r="H105" i="38"/>
  <c r="I105" i="38" s="1"/>
  <c r="G109" i="38"/>
  <c r="H108" i="38"/>
  <c r="I108" i="38" s="1"/>
  <c r="G101" i="38"/>
  <c r="H99" i="38"/>
  <c r="I99" i="38" s="1"/>
  <c r="G105" i="38"/>
  <c r="H106" i="38"/>
  <c r="I106" i="38" s="1"/>
  <c r="G106" i="38"/>
  <c r="G337" i="38"/>
  <c r="J337" i="38" s="1"/>
  <c r="L337" i="38" s="1"/>
  <c r="G169" i="38"/>
  <c r="J169" i="38" s="1"/>
  <c r="L169" i="38" s="1"/>
  <c r="G270" i="38"/>
  <c r="J270" i="38" s="1"/>
  <c r="G309" i="38"/>
  <c r="J309" i="38" s="1"/>
  <c r="L309" i="38" s="1"/>
  <c r="G186" i="38"/>
  <c r="J186" i="38" s="1"/>
  <c r="G298" i="38"/>
  <c r="J298" i="38" s="1"/>
  <c r="G365" i="38"/>
  <c r="J365" i="38" s="1"/>
  <c r="L365" i="38" s="1"/>
  <c r="G253" i="38"/>
  <c r="J253" i="38" s="1"/>
  <c r="L253" i="38" s="1"/>
  <c r="G326" i="38"/>
  <c r="J326" i="38" s="1"/>
  <c r="G225" i="38"/>
  <c r="J225" i="38" s="1"/>
  <c r="L225" i="38" s="1"/>
  <c r="G382" i="38"/>
  <c r="J382" i="38" s="1"/>
  <c r="G393" i="38"/>
  <c r="J393" i="38" s="1"/>
  <c r="L393" i="38" s="1"/>
  <c r="G214" i="38"/>
  <c r="J214" i="38" s="1"/>
  <c r="G281" i="38"/>
  <c r="J281" i="38" s="1"/>
  <c r="L281" i="38" s="1"/>
  <c r="J158" i="38"/>
  <c r="G242" i="38"/>
  <c r="J242" i="38" s="1"/>
  <c r="G197" i="38"/>
  <c r="J197" i="38" s="1"/>
  <c r="L197" i="38" s="1"/>
  <c r="G354" i="38"/>
  <c r="J354" i="38" s="1"/>
  <c r="G134" i="38"/>
  <c r="H125" i="38"/>
  <c r="I125" i="38" s="1"/>
  <c r="H127" i="38"/>
  <c r="I127" i="38" s="1"/>
  <c r="H126" i="38"/>
  <c r="I126" i="38" s="1"/>
  <c r="G50" i="38"/>
  <c r="H49" i="38"/>
  <c r="I49" i="38" s="1"/>
  <c r="G51" i="38"/>
  <c r="H111" i="38"/>
  <c r="I111" i="38" s="1"/>
  <c r="G98" i="38"/>
  <c r="H98" i="38"/>
  <c r="I98" i="38" s="1"/>
  <c r="H97" i="38"/>
  <c r="I97" i="38" s="1"/>
  <c r="G99" i="38"/>
  <c r="H53" i="38"/>
  <c r="I53" i="38" s="1"/>
  <c r="H44" i="38"/>
  <c r="I44" i="38" s="1"/>
  <c r="H128" i="38"/>
  <c r="I128" i="38" s="1"/>
  <c r="H100" i="38"/>
  <c r="I100" i="38" s="1"/>
  <c r="G41" i="38"/>
  <c r="G97" i="38"/>
  <c r="H50" i="38"/>
  <c r="I50" i="38" s="1"/>
  <c r="H137" i="38"/>
  <c r="I137" i="38" s="1"/>
  <c r="G126" i="38"/>
  <c r="H139" i="38"/>
  <c r="I139" i="38" s="1"/>
  <c r="G125" i="38"/>
  <c r="H138" i="38"/>
  <c r="I138" i="38" s="1"/>
  <c r="G43" i="38"/>
  <c r="H43" i="38"/>
  <c r="I43" i="38" s="1"/>
  <c r="G49" i="38"/>
  <c r="H107" i="38"/>
  <c r="I107" i="38" s="1"/>
  <c r="G111" i="38"/>
  <c r="H110" i="38"/>
  <c r="I110" i="38" s="1"/>
  <c r="G110" i="38"/>
  <c r="H109" i="38"/>
  <c r="I109" i="38" s="1"/>
  <c r="G129" i="38"/>
  <c r="G100" i="38"/>
  <c r="H83" i="38"/>
  <c r="I83" i="38" s="1"/>
  <c r="H81" i="38"/>
  <c r="I81" i="38" s="1"/>
  <c r="H80" i="38"/>
  <c r="I80" i="38" s="1"/>
  <c r="H17" i="38"/>
  <c r="I17" i="38" s="1"/>
  <c r="M17" i="38" s="1"/>
  <c r="H129" i="38"/>
  <c r="I129" i="38" s="1"/>
  <c r="G84" i="38"/>
  <c r="H84" i="38"/>
  <c r="I84" i="38" s="1"/>
  <c r="H73" i="38"/>
  <c r="I73" i="38" s="1"/>
  <c r="G80" i="38"/>
  <c r="H79" i="38"/>
  <c r="I79" i="38" s="1"/>
  <c r="G83" i="38"/>
  <c r="G69" i="38"/>
  <c r="H78" i="38"/>
  <c r="I78" i="38" s="1"/>
  <c r="G81" i="38"/>
  <c r="G72" i="38"/>
  <c r="H72" i="38"/>
  <c r="I72" i="38" s="1"/>
  <c r="G78" i="38"/>
  <c r="H77" i="38"/>
  <c r="I77" i="38" s="1"/>
  <c r="G79" i="38"/>
  <c r="H69" i="38"/>
  <c r="I69" i="38" s="1"/>
  <c r="G140" i="38"/>
  <c r="H140" i="38"/>
  <c r="I140" i="38" s="1"/>
  <c r="H28" i="38"/>
  <c r="I28" i="38" s="1"/>
  <c r="G28" i="38"/>
  <c r="H25" i="38"/>
  <c r="I25" i="38" s="1"/>
  <c r="G56" i="38"/>
  <c r="H56" i="38"/>
  <c r="I56" i="38" s="1"/>
  <c r="G128" i="38"/>
  <c r="G73" i="38"/>
  <c r="G45" i="38"/>
  <c r="G71" i="38"/>
  <c r="H71" i="38"/>
  <c r="I71" i="38" s="1"/>
  <c r="G77" i="38"/>
  <c r="H82" i="38"/>
  <c r="I82" i="38" s="1"/>
  <c r="H112" i="38"/>
  <c r="I112" i="38" s="1"/>
  <c r="G112" i="38"/>
  <c r="G42" i="28"/>
  <c r="H51" i="28"/>
  <c r="I51" i="28" s="1"/>
  <c r="G51" i="28"/>
  <c r="H98" i="28"/>
  <c r="I98" i="28" s="1"/>
  <c r="G98" i="28"/>
  <c r="H99" i="28"/>
  <c r="I99" i="28" s="1"/>
  <c r="H53" i="28"/>
  <c r="I53" i="28" s="1"/>
  <c r="G109" i="28"/>
  <c r="G52" i="28"/>
  <c r="H50" i="28"/>
  <c r="I50" i="28" s="1"/>
  <c r="H43" i="28"/>
  <c r="I43" i="28" s="1"/>
  <c r="I41" i="28"/>
  <c r="G107" i="28"/>
  <c r="H108" i="28"/>
  <c r="I108" i="28" s="1"/>
  <c r="G108" i="28"/>
  <c r="H107" i="28"/>
  <c r="I107" i="28" s="1"/>
  <c r="C59" i="46" s="1"/>
  <c r="G99" i="28"/>
  <c r="C100" i="46"/>
  <c r="G54" i="28"/>
  <c r="H42" i="28"/>
  <c r="I42" i="28" s="1"/>
  <c r="C11" i="46" s="1"/>
  <c r="H55" i="28"/>
  <c r="I55" i="28" s="1"/>
  <c r="H52" i="28"/>
  <c r="I52" i="28" s="1"/>
  <c r="G79" i="28"/>
  <c r="H80" i="28"/>
  <c r="I80" i="28" s="1"/>
  <c r="G82" i="28"/>
  <c r="H71" i="28"/>
  <c r="I71" i="28" s="1"/>
  <c r="M73" i="28" s="1"/>
  <c r="H78" i="28"/>
  <c r="I78" i="28" s="1"/>
  <c r="G80" i="28"/>
  <c r="G133" i="39"/>
  <c r="H136" i="39"/>
  <c r="I136" i="39" s="1"/>
  <c r="G134" i="39"/>
  <c r="H126" i="39"/>
  <c r="I126" i="39" s="1"/>
  <c r="H134" i="39"/>
  <c r="I134" i="39" s="1"/>
  <c r="H135" i="39"/>
  <c r="I135" i="39" s="1"/>
  <c r="G127" i="39"/>
  <c r="H133" i="39"/>
  <c r="I133" i="39" s="1"/>
  <c r="G138" i="39"/>
  <c r="H127" i="39"/>
  <c r="I127" i="39" s="1"/>
  <c r="G109" i="39"/>
  <c r="H111" i="39"/>
  <c r="I111" i="39" s="1"/>
  <c r="G106" i="39"/>
  <c r="H109" i="39"/>
  <c r="I109" i="39" s="1"/>
  <c r="G83" i="39"/>
  <c r="H52" i="39"/>
  <c r="I52" i="39" s="1"/>
  <c r="H51" i="39"/>
  <c r="I51" i="39" s="1"/>
  <c r="H50" i="39"/>
  <c r="I50" i="39" s="1"/>
  <c r="G55" i="39"/>
  <c r="H53" i="39"/>
  <c r="I53" i="39" s="1"/>
  <c r="G41" i="39"/>
  <c r="G43" i="39"/>
  <c r="G52" i="39"/>
  <c r="H49" i="39"/>
  <c r="I49" i="39" s="1"/>
  <c r="H41" i="39"/>
  <c r="I41" i="39" s="1"/>
  <c r="G49" i="39"/>
  <c r="G53" i="39"/>
  <c r="H71" i="39"/>
  <c r="I71" i="39" s="1"/>
  <c r="G69" i="39"/>
  <c r="H70" i="39"/>
  <c r="I70" i="39" s="1"/>
  <c r="G70" i="39"/>
  <c r="H108" i="39"/>
  <c r="I108" i="39" s="1"/>
  <c r="H79" i="39"/>
  <c r="I79" i="39" s="1"/>
  <c r="H78" i="39"/>
  <c r="I78" i="39" s="1"/>
  <c r="G79" i="39"/>
  <c r="H82" i="39"/>
  <c r="I82" i="39" s="1"/>
  <c r="G78" i="39"/>
  <c r="H77" i="39"/>
  <c r="I77" i="39" s="1"/>
  <c r="G80" i="39"/>
  <c r="G77" i="39"/>
  <c r="H69" i="39"/>
  <c r="I69" i="39" s="1"/>
  <c r="G105" i="39"/>
  <c r="J59" i="16"/>
  <c r="H98" i="39"/>
  <c r="I98" i="39" s="1"/>
  <c r="H106" i="39"/>
  <c r="I106" i="39" s="1"/>
  <c r="H107" i="39"/>
  <c r="I107" i="39" s="1"/>
  <c r="G97" i="39"/>
  <c r="G111" i="39"/>
  <c r="G99" i="39"/>
  <c r="H97" i="39"/>
  <c r="I97" i="39" s="1"/>
  <c r="H105" i="39"/>
  <c r="I105" i="39" s="1"/>
  <c r="G110" i="39"/>
  <c r="G125" i="39"/>
  <c r="G54" i="39"/>
  <c r="H55" i="39"/>
  <c r="I55" i="39" s="1"/>
  <c r="H54" i="39"/>
  <c r="I54" i="39" s="1"/>
  <c r="G42" i="39"/>
  <c r="G107" i="39"/>
  <c r="H110" i="39"/>
  <c r="I110" i="39" s="1"/>
  <c r="G98" i="39"/>
  <c r="H99" i="39"/>
  <c r="I99" i="39" s="1"/>
  <c r="G126" i="39"/>
  <c r="H139" i="39"/>
  <c r="I139" i="39" s="1"/>
  <c r="G135" i="39"/>
  <c r="G108" i="39"/>
  <c r="G51" i="39"/>
  <c r="G22" i="14"/>
  <c r="J22" i="14" s="1"/>
  <c r="M46" i="45"/>
  <c r="M24" i="45"/>
  <c r="M35" i="45"/>
  <c r="M57" i="45"/>
  <c r="M79" i="45"/>
  <c r="H22" i="14"/>
  <c r="I10" i="14"/>
  <c r="C21" i="46" s="1"/>
  <c r="G40" i="14"/>
  <c r="J40" i="14" s="1"/>
  <c r="I25" i="14"/>
  <c r="C32" i="46" s="1"/>
  <c r="H40" i="14"/>
  <c r="K2" i="16"/>
  <c r="M68" i="45"/>
  <c r="M90" i="45"/>
  <c r="M12" i="44"/>
  <c r="H78" i="44"/>
  <c r="I70" i="44"/>
  <c r="M78" i="44" s="1"/>
  <c r="M116" i="5"/>
  <c r="H116" i="5"/>
  <c r="M126" i="5"/>
  <c r="H126" i="5"/>
  <c r="I98" i="5"/>
  <c r="M106" i="5" s="1"/>
  <c r="H106" i="5"/>
  <c r="I75" i="5"/>
  <c r="M95" i="5" s="1"/>
  <c r="H95" i="5"/>
  <c r="H54" i="5"/>
  <c r="I44" i="5"/>
  <c r="M54" i="5" s="1"/>
  <c r="I15" i="5"/>
  <c r="M41" i="5" s="1"/>
  <c r="H41" i="5"/>
  <c r="M12" i="5"/>
  <c r="H12" i="5"/>
  <c r="H89" i="44"/>
  <c r="I81" i="44"/>
  <c r="M89" i="44" s="1"/>
  <c r="I59" i="44"/>
  <c r="M67" i="44" s="1"/>
  <c r="H67" i="44"/>
  <c r="I48" i="44"/>
  <c r="M56" i="44" s="1"/>
  <c r="H56" i="44"/>
  <c r="I37" i="44"/>
  <c r="M45" i="44" s="1"/>
  <c r="H45" i="44"/>
  <c r="I26" i="44"/>
  <c r="M34" i="44" s="1"/>
  <c r="H34" i="44"/>
  <c r="H23" i="44"/>
  <c r="I15" i="44"/>
  <c r="M23" i="44" s="1"/>
  <c r="H12" i="44"/>
  <c r="H7" i="45"/>
  <c r="I7" i="45" s="1"/>
  <c r="H8" i="45"/>
  <c r="I8" i="45" s="1"/>
  <c r="H9" i="45"/>
  <c r="I9" i="45" s="1"/>
  <c r="H10" i="45"/>
  <c r="I10" i="45" s="1"/>
  <c r="G11" i="45"/>
  <c r="H11" i="45" s="1"/>
  <c r="I11" i="45" s="1"/>
  <c r="G12" i="45"/>
  <c r="H12" i="45" s="1"/>
  <c r="I12" i="45" s="1"/>
  <c r="F7" i="45"/>
  <c r="F8" i="45"/>
  <c r="F9" i="45"/>
  <c r="F10" i="45"/>
  <c r="F11" i="45"/>
  <c r="F12" i="45"/>
  <c r="G90" i="45"/>
  <c r="G79" i="45"/>
  <c r="G68" i="45"/>
  <c r="G57" i="45"/>
  <c r="G46" i="45"/>
  <c r="G35" i="45"/>
  <c r="G24" i="45"/>
  <c r="J61" i="16" l="1"/>
  <c r="C107" i="46"/>
  <c r="C33" i="46"/>
  <c r="C101" i="46"/>
  <c r="C128" i="46"/>
  <c r="D128" i="46" s="1"/>
  <c r="E128" i="46" s="1"/>
  <c r="C77" i="46"/>
  <c r="C19" i="46"/>
  <c r="C7" i="46"/>
  <c r="K104" i="5"/>
  <c r="K42" i="16"/>
  <c r="K59" i="16"/>
  <c r="I42" i="16"/>
  <c r="C99" i="46"/>
  <c r="C106" i="46"/>
  <c r="K14" i="16"/>
  <c r="I25" i="16"/>
  <c r="C61" i="46"/>
  <c r="C112" i="46"/>
  <c r="M129" i="38"/>
  <c r="M45" i="38"/>
  <c r="M28" i="38"/>
  <c r="M29" i="38" s="1"/>
  <c r="L394" i="39"/>
  <c r="C57" i="16"/>
  <c r="G57" i="16" s="1"/>
  <c r="L338" i="39"/>
  <c r="C56" i="16"/>
  <c r="G56" i="16" s="1"/>
  <c r="L310" i="39"/>
  <c r="C55" i="16"/>
  <c r="G55" i="16" s="1"/>
  <c r="L282" i="39"/>
  <c r="C54" i="16"/>
  <c r="G54" i="16" s="1"/>
  <c r="L254" i="39"/>
  <c r="C53" i="16"/>
  <c r="G53" i="16" s="1"/>
  <c r="L226" i="39"/>
  <c r="C52" i="16"/>
  <c r="L198" i="39"/>
  <c r="C51" i="16"/>
  <c r="M140" i="38"/>
  <c r="M112" i="38"/>
  <c r="M101" i="38"/>
  <c r="M73" i="38"/>
  <c r="M56" i="38"/>
  <c r="I253" i="39"/>
  <c r="K253" i="39" s="1"/>
  <c r="M252" i="39"/>
  <c r="I225" i="39"/>
  <c r="K225" i="39" s="1"/>
  <c r="M224" i="39"/>
  <c r="I309" i="39"/>
  <c r="K309" i="39" s="1"/>
  <c r="M308" i="39"/>
  <c r="M280" i="39"/>
  <c r="I281" i="39"/>
  <c r="K281" i="39" s="1"/>
  <c r="I393" i="39"/>
  <c r="K393" i="39" s="1"/>
  <c r="M392" i="39"/>
  <c r="M336" i="39"/>
  <c r="I337" i="39"/>
  <c r="K337" i="39" s="1"/>
  <c r="I270" i="39"/>
  <c r="K270" i="39" s="1"/>
  <c r="M269" i="39"/>
  <c r="I197" i="39"/>
  <c r="K197" i="39" s="1"/>
  <c r="M196" i="39"/>
  <c r="M364" i="39"/>
  <c r="I365" i="39"/>
  <c r="K365" i="39" s="1"/>
  <c r="I298" i="39"/>
  <c r="K298" i="39" s="1"/>
  <c r="M297" i="39"/>
  <c r="M325" i="39"/>
  <c r="I326" i="39"/>
  <c r="K326" i="39" s="1"/>
  <c r="M185" i="39"/>
  <c r="I186" i="39"/>
  <c r="K186" i="39" s="1"/>
  <c r="M381" i="39"/>
  <c r="I382" i="39"/>
  <c r="K382" i="39" s="1"/>
  <c r="M353" i="39"/>
  <c r="I354" i="39"/>
  <c r="K354" i="39" s="1"/>
  <c r="M241" i="39"/>
  <c r="I242" i="39"/>
  <c r="K242" i="39" s="1"/>
  <c r="I214" i="39"/>
  <c r="K214" i="39" s="1"/>
  <c r="M213" i="39"/>
  <c r="L354" i="38"/>
  <c r="J366" i="38"/>
  <c r="L366" i="38" s="1"/>
  <c r="H337" i="38"/>
  <c r="L158" i="38"/>
  <c r="J170" i="38"/>
  <c r="H365" i="38"/>
  <c r="J226" i="38"/>
  <c r="L214" i="38"/>
  <c r="H382" i="38"/>
  <c r="L382" i="38"/>
  <c r="J394" i="38"/>
  <c r="H393" i="38"/>
  <c r="H309" i="38"/>
  <c r="H197" i="38"/>
  <c r="H354" i="38"/>
  <c r="L242" i="38"/>
  <c r="J254" i="38"/>
  <c r="L326" i="38"/>
  <c r="J338" i="38"/>
  <c r="H186" i="38"/>
  <c r="H169" i="38"/>
  <c r="J282" i="38"/>
  <c r="L270" i="38"/>
  <c r="H214" i="38"/>
  <c r="H281" i="38"/>
  <c r="H253" i="38"/>
  <c r="H270" i="38"/>
  <c r="H326" i="38"/>
  <c r="H225" i="38"/>
  <c r="H242" i="38"/>
  <c r="H298" i="38"/>
  <c r="L298" i="38"/>
  <c r="J310" i="38"/>
  <c r="J198" i="38"/>
  <c r="L186" i="38"/>
  <c r="M84" i="38"/>
  <c r="I40" i="14"/>
  <c r="K40" i="14" s="1"/>
  <c r="L40" i="14" s="1"/>
  <c r="C60" i="46"/>
  <c r="C85" i="46"/>
  <c r="C58" i="46"/>
  <c r="I85" i="28"/>
  <c r="M56" i="28"/>
  <c r="I46" i="28"/>
  <c r="I57" i="28"/>
  <c r="C105" i="46"/>
  <c r="M112" i="28"/>
  <c r="C14" i="46"/>
  <c r="C113" i="46"/>
  <c r="C20" i="46"/>
  <c r="M84" i="28"/>
  <c r="M85" i="28" s="1"/>
  <c r="I74" i="28"/>
  <c r="M45" i="28"/>
  <c r="C23" i="46"/>
  <c r="C83" i="46"/>
  <c r="C89" i="46"/>
  <c r="M157" i="39"/>
  <c r="M168" i="39"/>
  <c r="M73" i="39"/>
  <c r="M45" i="39"/>
  <c r="M28" i="39"/>
  <c r="M17" i="39"/>
  <c r="M84" i="39"/>
  <c r="M140" i="39"/>
  <c r="M129" i="39"/>
  <c r="M56" i="39"/>
  <c r="M101" i="39"/>
  <c r="M112" i="39"/>
  <c r="I22" i="14"/>
  <c r="K22" i="14" s="1"/>
  <c r="C2" i="16"/>
  <c r="M40" i="14"/>
  <c r="M22" i="14"/>
  <c r="G13" i="45"/>
  <c r="M72" i="5" l="1"/>
  <c r="I72" i="5"/>
  <c r="K72" i="5" s="1"/>
  <c r="M57" i="38"/>
  <c r="M141" i="38"/>
  <c r="M113" i="38"/>
  <c r="M85" i="38"/>
  <c r="K198" i="39"/>
  <c r="D51" i="16" s="1"/>
  <c r="L394" i="38"/>
  <c r="C40" i="16"/>
  <c r="G40" i="16" s="1"/>
  <c r="L338" i="38"/>
  <c r="C39" i="16"/>
  <c r="G39" i="16" s="1"/>
  <c r="L310" i="38"/>
  <c r="C38" i="16"/>
  <c r="G38" i="16" s="1"/>
  <c r="L282" i="38"/>
  <c r="C37" i="16"/>
  <c r="G37" i="16" s="1"/>
  <c r="L254" i="38"/>
  <c r="C36" i="16"/>
  <c r="G36" i="16" s="1"/>
  <c r="L226" i="38"/>
  <c r="C35" i="16"/>
  <c r="L198" i="38"/>
  <c r="C34" i="16"/>
  <c r="L170" i="38"/>
  <c r="C33" i="16"/>
  <c r="M309" i="39"/>
  <c r="K310" i="39"/>
  <c r="D55" i="16" s="1"/>
  <c r="H55" i="16" s="1"/>
  <c r="M225" i="39"/>
  <c r="M197" i="39"/>
  <c r="K226" i="39"/>
  <c r="D52" i="16" s="1"/>
  <c r="K338" i="39"/>
  <c r="D56" i="16" s="1"/>
  <c r="H56" i="16" s="1"/>
  <c r="K366" i="39"/>
  <c r="M281" i="39"/>
  <c r="M393" i="39"/>
  <c r="M253" i="39"/>
  <c r="M337" i="39"/>
  <c r="M365" i="39"/>
  <c r="K282" i="39"/>
  <c r="D54" i="16" s="1"/>
  <c r="H54" i="16" s="1"/>
  <c r="K394" i="39"/>
  <c r="D57" i="16" s="1"/>
  <c r="H57" i="16" s="1"/>
  <c r="K254" i="39"/>
  <c r="D53" i="16" s="1"/>
  <c r="H53" i="16" s="1"/>
  <c r="M297" i="38"/>
  <c r="I298" i="38"/>
  <c r="K298" i="38" s="1"/>
  <c r="M185" i="38"/>
  <c r="I186" i="38"/>
  <c r="K186" i="38" s="1"/>
  <c r="M381" i="38"/>
  <c r="I382" i="38"/>
  <c r="K382" i="38" s="1"/>
  <c r="I225" i="38"/>
  <c r="K225" i="38" s="1"/>
  <c r="M224" i="38"/>
  <c r="M269" i="38"/>
  <c r="I270" i="38"/>
  <c r="K270" i="38" s="1"/>
  <c r="M280" i="38"/>
  <c r="I281" i="38"/>
  <c r="K281" i="38" s="1"/>
  <c r="M196" i="38"/>
  <c r="I197" i="38"/>
  <c r="K197" i="38" s="1"/>
  <c r="I393" i="38"/>
  <c r="K393" i="38" s="1"/>
  <c r="M392" i="38"/>
  <c r="M364" i="38"/>
  <c r="I365" i="38"/>
  <c r="K365" i="38" s="1"/>
  <c r="M336" i="38"/>
  <c r="I337" i="38"/>
  <c r="K337" i="38" s="1"/>
  <c r="M241" i="38"/>
  <c r="I242" i="38"/>
  <c r="K242" i="38" s="1"/>
  <c r="M325" i="38"/>
  <c r="I326" i="38"/>
  <c r="K326" i="38" s="1"/>
  <c r="I253" i="38"/>
  <c r="K253" i="38" s="1"/>
  <c r="M252" i="38"/>
  <c r="M168" i="38"/>
  <c r="I169" i="38"/>
  <c r="K169" i="38" s="1"/>
  <c r="I309" i="38"/>
  <c r="K309" i="38" s="1"/>
  <c r="M308" i="38"/>
  <c r="M157" i="38"/>
  <c r="I158" i="38"/>
  <c r="K158" i="38" s="1"/>
  <c r="I214" i="38"/>
  <c r="K214" i="38" s="1"/>
  <c r="M213" i="38"/>
  <c r="M353" i="38"/>
  <c r="I354" i="38"/>
  <c r="K354" i="38" s="1"/>
  <c r="M57" i="28"/>
  <c r="M113" i="28"/>
  <c r="L22" i="14"/>
  <c r="M29" i="39"/>
  <c r="M169" i="39"/>
  <c r="M85" i="39"/>
  <c r="M57" i="39"/>
  <c r="M141" i="39"/>
  <c r="M113" i="39"/>
  <c r="D2" i="16"/>
  <c r="M52" i="14"/>
  <c r="E35" i="13"/>
  <c r="E34" i="13"/>
  <c r="E33" i="13"/>
  <c r="E32" i="13"/>
  <c r="E31" i="13"/>
  <c r="E30" i="13"/>
  <c r="E29" i="13"/>
  <c r="E28" i="13"/>
  <c r="E23" i="13"/>
  <c r="E20" i="13"/>
  <c r="E19" i="13"/>
  <c r="E22" i="13"/>
  <c r="E10" i="13"/>
  <c r="E11" i="13"/>
  <c r="E9" i="13"/>
  <c r="E8" i="13"/>
  <c r="E7" i="13"/>
  <c r="M13" i="45"/>
  <c r="M337" i="38" l="1"/>
  <c r="M225" i="38"/>
  <c r="K338" i="38"/>
  <c r="D39" i="16" s="1"/>
  <c r="H39" i="16" s="1"/>
  <c r="K394" i="38"/>
  <c r="D40" i="16" s="1"/>
  <c r="H40" i="16" s="1"/>
  <c r="K198" i="38"/>
  <c r="D34" i="16" s="1"/>
  <c r="M393" i="38"/>
  <c r="M365" i="38"/>
  <c r="K366" i="38"/>
  <c r="M309" i="38"/>
  <c r="M197" i="38"/>
  <c r="K226" i="38"/>
  <c r="D35" i="16" s="1"/>
  <c r="K254" i="38"/>
  <c r="D36" i="16" s="1"/>
  <c r="H36" i="16" s="1"/>
  <c r="K170" i="38"/>
  <c r="D33" i="16" s="1"/>
  <c r="M169" i="38"/>
  <c r="K282" i="38"/>
  <c r="D37" i="16" s="1"/>
  <c r="H37" i="16" s="1"/>
  <c r="K310" i="38"/>
  <c r="D38" i="16" s="1"/>
  <c r="H38" i="16" s="1"/>
  <c r="M253" i="38"/>
  <c r="M281" i="38"/>
  <c r="E12" i="13"/>
  <c r="E24" i="13"/>
  <c r="G89" i="44"/>
  <c r="F56" i="44"/>
  <c r="G45" i="44"/>
  <c r="H24" i="45"/>
  <c r="F13" i="45"/>
  <c r="H90" i="45"/>
  <c r="I24" i="45"/>
  <c r="K24" i="45" s="1"/>
  <c r="F46" i="16" s="1"/>
  <c r="F68" i="45"/>
  <c r="F35" i="45"/>
  <c r="F46" i="45"/>
  <c r="F57" i="45"/>
  <c r="H68" i="45"/>
  <c r="F79" i="45"/>
  <c r="I79" i="45"/>
  <c r="K79" i="45" s="1"/>
  <c r="F51" i="16" s="1"/>
  <c r="F24" i="45"/>
  <c r="H46" i="45"/>
  <c r="I68" i="45"/>
  <c r="K68" i="45" s="1"/>
  <c r="F50" i="16" s="1"/>
  <c r="H79" i="45"/>
  <c r="F90" i="45"/>
  <c r="I34" i="44"/>
  <c r="K34" i="44" s="1"/>
  <c r="F30" i="16" s="1"/>
  <c r="F12" i="44"/>
  <c r="G12" i="44"/>
  <c r="F23" i="44"/>
  <c r="F67" i="44"/>
  <c r="I78" i="44"/>
  <c r="K78" i="44" s="1"/>
  <c r="F34" i="16" s="1"/>
  <c r="I45" i="44"/>
  <c r="K45" i="44" s="1"/>
  <c r="F31" i="16" s="1"/>
  <c r="G56" i="44"/>
  <c r="I89" i="44"/>
  <c r="K89" i="44" s="1"/>
  <c r="F35" i="16" s="1"/>
  <c r="I12" i="44"/>
  <c r="K12" i="44" s="1"/>
  <c r="I23" i="44"/>
  <c r="K23" i="44" s="1"/>
  <c r="F29" i="16" s="1"/>
  <c r="F34" i="44"/>
  <c r="F45" i="44"/>
  <c r="I67" i="44"/>
  <c r="K67" i="44" s="1"/>
  <c r="F33" i="16" s="1"/>
  <c r="F78" i="44"/>
  <c r="F89" i="44"/>
  <c r="I35" i="45"/>
  <c r="K35" i="45" s="1"/>
  <c r="F47" i="16" s="1"/>
  <c r="I57" i="45"/>
  <c r="K57" i="45" s="1"/>
  <c r="F49" i="16" s="1"/>
  <c r="I13" i="45"/>
  <c r="K13" i="45" s="1"/>
  <c r="F45" i="16" s="1"/>
  <c r="H57" i="45"/>
  <c r="H35" i="45"/>
  <c r="I46" i="45"/>
  <c r="K46" i="45" s="1"/>
  <c r="F48" i="16" s="1"/>
  <c r="I90" i="45"/>
  <c r="K90" i="45" s="1"/>
  <c r="F52" i="16" s="1"/>
  <c r="H13" i="45"/>
  <c r="I56" i="44"/>
  <c r="K56" i="44" s="1"/>
  <c r="F32" i="16" s="1"/>
  <c r="G34" i="44"/>
  <c r="G23" i="44"/>
  <c r="G67" i="44"/>
  <c r="G78" i="44"/>
  <c r="F126" i="5"/>
  <c r="G54" i="5"/>
  <c r="F116" i="5"/>
  <c r="G106" i="5"/>
  <c r="I116" i="5"/>
  <c r="K116" i="5" s="1"/>
  <c r="I106" i="5"/>
  <c r="K106" i="5" s="1"/>
  <c r="G126" i="5"/>
  <c r="F95" i="5"/>
  <c r="I126" i="5"/>
  <c r="K126" i="5" s="1"/>
  <c r="I54" i="5"/>
  <c r="K54" i="5" s="1"/>
  <c r="G116" i="5"/>
  <c r="F54" i="5"/>
  <c r="G95" i="5"/>
  <c r="F106" i="5"/>
  <c r="I95" i="5"/>
  <c r="K95" i="5" s="1"/>
  <c r="F12" i="5"/>
  <c r="I12" i="5"/>
  <c r="G12" i="5"/>
  <c r="G169" i="39"/>
  <c r="J169" i="39" s="1"/>
  <c r="G113" i="39"/>
  <c r="J113" i="39" s="1"/>
  <c r="I102" i="39"/>
  <c r="K102" i="39" s="1"/>
  <c r="H85" i="39"/>
  <c r="G85" i="39"/>
  <c r="J85" i="39" s="1"/>
  <c r="I46" i="39"/>
  <c r="K46" i="39" s="1"/>
  <c r="L126" i="5" l="1"/>
  <c r="F59" i="16"/>
  <c r="F28" i="16"/>
  <c r="F42" i="16" s="1"/>
  <c r="H35" i="16"/>
  <c r="H52" i="16"/>
  <c r="F18" i="16"/>
  <c r="H18" i="16" s="1"/>
  <c r="F17" i="16"/>
  <c r="H17" i="16" s="1"/>
  <c r="H51" i="16"/>
  <c r="H34" i="16"/>
  <c r="H33" i="16"/>
  <c r="F16" i="16"/>
  <c r="H16" i="16" s="1"/>
  <c r="F15" i="16"/>
  <c r="H15" i="16" s="1"/>
  <c r="F14" i="16"/>
  <c r="F13" i="16"/>
  <c r="L116" i="5"/>
  <c r="J89" i="44"/>
  <c r="E35" i="16" s="1"/>
  <c r="L89" i="44"/>
  <c r="L106" i="5"/>
  <c r="J78" i="44"/>
  <c r="E34" i="16" s="1"/>
  <c r="L78" i="44"/>
  <c r="J90" i="45"/>
  <c r="E52" i="16" s="1"/>
  <c r="L90" i="45"/>
  <c r="J79" i="45"/>
  <c r="E51" i="16" s="1"/>
  <c r="L79" i="45"/>
  <c r="J35" i="45"/>
  <c r="E47" i="16" s="1"/>
  <c r="L35" i="45"/>
  <c r="J24" i="45"/>
  <c r="E46" i="16" s="1"/>
  <c r="L24" i="45"/>
  <c r="J57" i="45"/>
  <c r="E49" i="16" s="1"/>
  <c r="L57" i="45"/>
  <c r="J46" i="45"/>
  <c r="E48" i="16" s="1"/>
  <c r="L46" i="45"/>
  <c r="J68" i="45"/>
  <c r="E50" i="16" s="1"/>
  <c r="L68" i="45"/>
  <c r="J67" i="44"/>
  <c r="E33" i="16" s="1"/>
  <c r="L67" i="44"/>
  <c r="J56" i="44"/>
  <c r="E32" i="16" s="1"/>
  <c r="L56" i="44"/>
  <c r="J45" i="44"/>
  <c r="E31" i="16" s="1"/>
  <c r="L45" i="44"/>
  <c r="J34" i="44"/>
  <c r="E30" i="16" s="1"/>
  <c r="L34" i="44"/>
  <c r="J23" i="44"/>
  <c r="E29" i="16" s="1"/>
  <c r="L23" i="44"/>
  <c r="L95" i="5"/>
  <c r="L72" i="5"/>
  <c r="L54" i="5"/>
  <c r="L12" i="5"/>
  <c r="J13" i="45"/>
  <c r="E45" i="16" s="1"/>
  <c r="L13" i="45"/>
  <c r="J12" i="44"/>
  <c r="E28" i="16" s="1"/>
  <c r="L12" i="44"/>
  <c r="J12" i="5"/>
  <c r="K12" i="5"/>
  <c r="J126" i="5"/>
  <c r="J116" i="5"/>
  <c r="J106" i="5"/>
  <c r="J95" i="5"/>
  <c r="J54" i="5"/>
  <c r="I74" i="39"/>
  <c r="K74" i="39" s="1"/>
  <c r="H74" i="39"/>
  <c r="I57" i="39"/>
  <c r="H57" i="39"/>
  <c r="K29" i="39"/>
  <c r="H102" i="39"/>
  <c r="H113" i="39"/>
  <c r="I113" i="39"/>
  <c r="K113" i="39" s="1"/>
  <c r="K114" i="39" s="1"/>
  <c r="D48" i="16" s="1"/>
  <c r="G130" i="39"/>
  <c r="J130" i="39" s="1"/>
  <c r="I158" i="39"/>
  <c r="K158" i="39" s="1"/>
  <c r="J18" i="39"/>
  <c r="H46" i="39"/>
  <c r="G46" i="39"/>
  <c r="J46" i="39" s="1"/>
  <c r="I85" i="39"/>
  <c r="K85" i="39" s="1"/>
  <c r="L85" i="39" s="1"/>
  <c r="I169" i="39"/>
  <c r="K169" i="39" s="1"/>
  <c r="L169" i="39" s="1"/>
  <c r="H169" i="39"/>
  <c r="G57" i="39"/>
  <c r="J57" i="39" s="1"/>
  <c r="G102" i="39"/>
  <c r="J102" i="39" s="1"/>
  <c r="J158" i="39"/>
  <c r="J29" i="39"/>
  <c r="G74" i="39"/>
  <c r="J74" i="39" s="1"/>
  <c r="G141" i="39"/>
  <c r="J141" i="39" s="1"/>
  <c r="F98" i="14"/>
  <c r="H98" i="14" s="1"/>
  <c r="G98" i="14"/>
  <c r="F99" i="14"/>
  <c r="H99" i="14" s="1"/>
  <c r="G99" i="14"/>
  <c r="F100" i="14"/>
  <c r="H100" i="14" s="1"/>
  <c r="G100" i="14"/>
  <c r="F101" i="14"/>
  <c r="H101" i="14" s="1"/>
  <c r="G101" i="14"/>
  <c r="F102" i="14"/>
  <c r="H102" i="14" s="1"/>
  <c r="G102" i="14"/>
  <c r="F103" i="14"/>
  <c r="H103" i="14" s="1"/>
  <c r="G103" i="14"/>
  <c r="F104" i="14"/>
  <c r="H104" i="14" s="1"/>
  <c r="G104" i="14"/>
  <c r="F97" i="14"/>
  <c r="H97" i="14" s="1"/>
  <c r="H43" i="14"/>
  <c r="I43" i="14" s="1"/>
  <c r="G43" i="14"/>
  <c r="E42" i="16" l="1"/>
  <c r="E59" i="16"/>
  <c r="G52" i="16"/>
  <c r="G35" i="16"/>
  <c r="E18" i="16"/>
  <c r="G18" i="16" s="1"/>
  <c r="G34" i="16"/>
  <c r="E17" i="16"/>
  <c r="G17" i="16" s="1"/>
  <c r="G51" i="16"/>
  <c r="G33" i="16"/>
  <c r="E16" i="16"/>
  <c r="G16" i="16" s="1"/>
  <c r="E15" i="16"/>
  <c r="G15" i="16" s="1"/>
  <c r="E14" i="16"/>
  <c r="H48" i="16"/>
  <c r="E13" i="16"/>
  <c r="E11" i="16"/>
  <c r="F11" i="16"/>
  <c r="L29" i="39"/>
  <c r="L113" i="39"/>
  <c r="G105" i="14"/>
  <c r="J105" i="14" s="1"/>
  <c r="H105" i="14"/>
  <c r="F3" i="16" s="1"/>
  <c r="L158" i="39"/>
  <c r="J170" i="39"/>
  <c r="C50" i="16" s="1"/>
  <c r="K170" i="39"/>
  <c r="D50" i="16" s="1"/>
  <c r="H50" i="16" s="1"/>
  <c r="J142" i="39"/>
  <c r="C49" i="16" s="1"/>
  <c r="L102" i="39"/>
  <c r="J114" i="39"/>
  <c r="C48" i="16" s="1"/>
  <c r="G48" i="16" s="1"/>
  <c r="L74" i="39"/>
  <c r="J86" i="39"/>
  <c r="C47" i="16" s="1"/>
  <c r="G47" i="16" s="1"/>
  <c r="K86" i="39"/>
  <c r="D47" i="16" s="1"/>
  <c r="H47" i="16" s="1"/>
  <c r="L46" i="39"/>
  <c r="J58" i="39"/>
  <c r="C46" i="16" s="1"/>
  <c r="J30" i="39"/>
  <c r="C45" i="16" s="1"/>
  <c r="K57" i="39"/>
  <c r="L57" i="39" s="1"/>
  <c r="M105" i="14"/>
  <c r="K18" i="39"/>
  <c r="K30" i="39" s="1"/>
  <c r="D45" i="16" s="1"/>
  <c r="H141" i="39"/>
  <c r="I141" i="39"/>
  <c r="K141" i="39" s="1"/>
  <c r="L141" i="39" s="1"/>
  <c r="I130" i="39"/>
  <c r="K130" i="39" s="1"/>
  <c r="H130" i="39"/>
  <c r="G45" i="16" l="1"/>
  <c r="C59" i="16"/>
  <c r="H45" i="16"/>
  <c r="G50" i="16"/>
  <c r="G49" i="16"/>
  <c r="L18" i="39"/>
  <c r="L105" i="14"/>
  <c r="E3" i="16"/>
  <c r="L170" i="39"/>
  <c r="L30" i="39"/>
  <c r="L86" i="39"/>
  <c r="L114" i="39"/>
  <c r="L130" i="39"/>
  <c r="K142" i="39"/>
  <c r="D49" i="16" s="1"/>
  <c r="H49" i="16" s="1"/>
  <c r="K58" i="39"/>
  <c r="D46" i="16" s="1"/>
  <c r="D59" i="16" l="1"/>
  <c r="L142" i="39"/>
  <c r="L58" i="39"/>
  <c r="B42" i="16"/>
  <c r="G102" i="38" l="1"/>
  <c r="J102" i="38" s="1"/>
  <c r="H74" i="38"/>
  <c r="I74" i="38"/>
  <c r="K74" i="38" s="1"/>
  <c r="I141" i="38" l="1"/>
  <c r="K141" i="38" s="1"/>
  <c r="I113" i="38"/>
  <c r="K113" i="38" s="1"/>
  <c r="I85" i="38"/>
  <c r="I57" i="38"/>
  <c r="K57" i="38" s="1"/>
  <c r="I46" i="38"/>
  <c r="K46" i="38" s="1"/>
  <c r="I18" i="38"/>
  <c r="K18" i="38" s="1"/>
  <c r="G74" i="38"/>
  <c r="J74" i="38" s="1"/>
  <c r="G85" i="38"/>
  <c r="J85" i="38" s="1"/>
  <c r="G57" i="38"/>
  <c r="J57" i="38" s="1"/>
  <c r="L57" i="38" s="1"/>
  <c r="H85" i="38"/>
  <c r="H113" i="38"/>
  <c r="H18" i="38"/>
  <c r="H130" i="38"/>
  <c r="I130" i="38"/>
  <c r="K130" i="38" s="1"/>
  <c r="G130" i="38"/>
  <c r="J130" i="38" s="1"/>
  <c r="G113" i="38"/>
  <c r="J113" i="38" s="1"/>
  <c r="I102" i="38"/>
  <c r="K102" i="38" s="1"/>
  <c r="L102" i="38" s="1"/>
  <c r="H102" i="38"/>
  <c r="H57" i="38"/>
  <c r="G46" i="38"/>
  <c r="J46" i="38" s="1"/>
  <c r="H46" i="38"/>
  <c r="G29" i="38"/>
  <c r="J29" i="38" s="1"/>
  <c r="G18" i="38"/>
  <c r="J18" i="38" s="1"/>
  <c r="H141" i="38"/>
  <c r="H29" i="38"/>
  <c r="I29" i="38"/>
  <c r="K29" i="38" s="1"/>
  <c r="G141" i="38"/>
  <c r="J141" i="38" s="1"/>
  <c r="L29" i="38" l="1"/>
  <c r="L113" i="38"/>
  <c r="L141" i="38"/>
  <c r="K142" i="38"/>
  <c r="D32" i="16" s="1"/>
  <c r="H32" i="16" s="1"/>
  <c r="K114" i="38"/>
  <c r="D31" i="16" s="1"/>
  <c r="H31" i="16" s="1"/>
  <c r="J114" i="38"/>
  <c r="C31" i="16" s="1"/>
  <c r="G31" i="16" s="1"/>
  <c r="L130" i="38"/>
  <c r="J142" i="38"/>
  <c r="C32" i="16" s="1"/>
  <c r="G32" i="16" s="1"/>
  <c r="L74" i="38"/>
  <c r="J86" i="38"/>
  <c r="C30" i="16" s="1"/>
  <c r="G30" i="16" s="1"/>
  <c r="K58" i="38"/>
  <c r="D29" i="16" s="1"/>
  <c r="L46" i="38"/>
  <c r="J58" i="38"/>
  <c r="C29" i="16" s="1"/>
  <c r="L18" i="38"/>
  <c r="J30" i="38"/>
  <c r="C28" i="16" s="1"/>
  <c r="K30" i="38"/>
  <c r="D28" i="16" s="1"/>
  <c r="K85" i="38"/>
  <c r="L85" i="38" s="1"/>
  <c r="G50" i="14"/>
  <c r="H50" i="14"/>
  <c r="I50" i="14" s="1"/>
  <c r="G49" i="14"/>
  <c r="H49" i="14"/>
  <c r="I49" i="14" s="1"/>
  <c r="G48" i="14"/>
  <c r="H48" i="14"/>
  <c r="I48" i="14" s="1"/>
  <c r="G47" i="14"/>
  <c r="H47" i="14"/>
  <c r="I47" i="14" s="1"/>
  <c r="G46" i="14"/>
  <c r="H46" i="14"/>
  <c r="I46" i="14" s="1"/>
  <c r="G45" i="14"/>
  <c r="H45" i="14"/>
  <c r="I45" i="14" s="1"/>
  <c r="G44" i="14"/>
  <c r="H44" i="14"/>
  <c r="I44" i="14" s="1"/>
  <c r="G28" i="16" l="1"/>
  <c r="C42" i="16"/>
  <c r="H28" i="16"/>
  <c r="G51" i="14"/>
  <c r="J51" i="14" s="1"/>
  <c r="E66" i="16" s="1"/>
  <c r="M51" i="14"/>
  <c r="H51" i="14"/>
  <c r="I51" i="14" s="1"/>
  <c r="K51" i="14" s="1"/>
  <c r="L142" i="38"/>
  <c r="L30" i="38"/>
  <c r="L114" i="38"/>
  <c r="L58" i="38"/>
  <c r="K86" i="38"/>
  <c r="D30" i="16" s="1"/>
  <c r="H30" i="16" s="1"/>
  <c r="K3" i="16"/>
  <c r="J94" i="14"/>
  <c r="J75" i="14"/>
  <c r="D42" i="16" l="1"/>
  <c r="J52" i="14"/>
  <c r="L86" i="38"/>
  <c r="E2" i="16"/>
  <c r="C3" i="16"/>
  <c r="E68" i="16"/>
  <c r="J106" i="14"/>
  <c r="K75" i="14"/>
  <c r="K94" i="14"/>
  <c r="L94" i="14" l="1"/>
  <c r="K106" i="14"/>
  <c r="F2" i="16"/>
  <c r="F4" i="16" s="1"/>
  <c r="L75" i="14"/>
  <c r="K52" i="14"/>
  <c r="L52" i="14" s="1"/>
  <c r="L51" i="14"/>
  <c r="G2" i="16"/>
  <c r="D3" i="16"/>
  <c r="H3" i="16" s="1"/>
  <c r="L106" i="14"/>
  <c r="E67" i="16" l="1"/>
  <c r="G3" i="16"/>
  <c r="H57" i="28"/>
  <c r="I102" i="28"/>
  <c r="K102" i="28" s="1"/>
  <c r="I113" i="28"/>
  <c r="K113" i="28" s="1"/>
  <c r="K74" i="28"/>
  <c r="K57" i="28"/>
  <c r="G113" i="28"/>
  <c r="J113" i="28" s="1"/>
  <c r="G74" i="28"/>
  <c r="J74" i="28" s="1"/>
  <c r="H74" i="28"/>
  <c r="G46" i="28"/>
  <c r="J46" i="28" s="1"/>
  <c r="H102" i="28"/>
  <c r="G57" i="28"/>
  <c r="J57" i="28" s="1"/>
  <c r="G102" i="28"/>
  <c r="J102" i="28" s="1"/>
  <c r="G85" i="28"/>
  <c r="J85" i="28" s="1"/>
  <c r="H85" i="28"/>
  <c r="H113" i="28"/>
  <c r="K85" i="28"/>
  <c r="L113" i="28" l="1"/>
  <c r="L85" i="28"/>
  <c r="L57" i="28"/>
  <c r="J58" i="28"/>
  <c r="L102" i="28"/>
  <c r="J114" i="28"/>
  <c r="C14" i="16" s="1"/>
  <c r="G14" i="16" s="1"/>
  <c r="K114" i="28"/>
  <c r="D14" i="16" s="1"/>
  <c r="H14" i="16" s="1"/>
  <c r="L74" i="28"/>
  <c r="J86" i="28"/>
  <c r="C13" i="16" s="1"/>
  <c r="G13" i="16" s="1"/>
  <c r="K86" i="28"/>
  <c r="D13" i="16" s="1"/>
  <c r="H13" i="16" s="1"/>
  <c r="H46" i="28"/>
  <c r="D66" i="16" l="1"/>
  <c r="C12" i="16"/>
  <c r="C25" i="16" s="1"/>
  <c r="L86" i="28"/>
  <c r="L114" i="28"/>
  <c r="K46" i="28"/>
  <c r="K58" i="28" l="1"/>
  <c r="D68" i="16" s="1"/>
  <c r="L46" i="28"/>
  <c r="D12" i="16" l="1"/>
  <c r="L58" i="28"/>
  <c r="D25" i="16" l="1"/>
  <c r="F41" i="5"/>
  <c r="J41" i="5" l="1"/>
  <c r="C66" i="16" s="1"/>
  <c r="E12" i="16" l="1"/>
  <c r="G41" i="5"/>
  <c r="G12" i="16" l="1"/>
  <c r="E25" i="16"/>
  <c r="C65" i="16" s="1"/>
  <c r="G29" i="16"/>
  <c r="G42" i="16" s="1"/>
  <c r="G46" i="16"/>
  <c r="G59" i="16" s="1"/>
  <c r="I41" i="5"/>
  <c r="K41" i="5" l="1"/>
  <c r="C68" i="16" s="1"/>
  <c r="L41" i="5"/>
  <c r="F12" i="16" l="1"/>
  <c r="H2" i="16"/>
  <c r="F25" i="16" l="1"/>
  <c r="H46" i="16"/>
  <c r="H12" i="16"/>
  <c r="H29" i="16"/>
  <c r="H42" i="16" s="1"/>
  <c r="C36" i="13"/>
  <c r="C37" i="13" s="1"/>
  <c r="C67" i="16" l="1"/>
  <c r="F61" i="16"/>
  <c r="E36" i="13"/>
  <c r="C69" i="16" l="1"/>
  <c r="C72" i="16" s="1"/>
  <c r="E39" i="13"/>
  <c r="E41" i="13" s="1"/>
  <c r="K11" i="16" l="1"/>
  <c r="K25" i="16" s="1"/>
  <c r="K61" i="16" s="1"/>
  <c r="D111" i="46" l="1"/>
  <c r="E111" i="46" s="1"/>
  <c r="D26" i="46"/>
  <c r="E26" i="46" s="1"/>
  <c r="D122" i="46"/>
  <c r="E122" i="46" s="1"/>
  <c r="D87" i="46"/>
  <c r="E87" i="46" s="1"/>
  <c r="D43" i="46"/>
  <c r="E43" i="46" s="1"/>
  <c r="D49" i="46"/>
  <c r="E49" i="46" s="1"/>
  <c r="D8" i="46"/>
  <c r="E8" i="46" s="1"/>
  <c r="D52" i="46"/>
  <c r="E52" i="46" s="1"/>
  <c r="D85" i="46"/>
  <c r="E85" i="46" s="1"/>
  <c r="D10" i="46"/>
  <c r="E10" i="46" s="1"/>
  <c r="D55" i="46"/>
  <c r="E55" i="46" s="1"/>
  <c r="D90" i="46"/>
  <c r="E90" i="46" s="1"/>
  <c r="D60" i="46"/>
  <c r="E60" i="46" s="1"/>
  <c r="D108" i="46"/>
  <c r="E108" i="46" s="1"/>
  <c r="D124" i="46"/>
  <c r="E124" i="46" s="1"/>
  <c r="D101" i="46"/>
  <c r="E101" i="46" s="1"/>
  <c r="D7" i="46"/>
  <c r="E7" i="46" s="1"/>
  <c r="D110" i="46"/>
  <c r="E110" i="46" s="1"/>
  <c r="D119" i="46"/>
  <c r="E119" i="46" s="1"/>
  <c r="D56" i="46"/>
  <c r="E56" i="46" s="1"/>
  <c r="D54" i="46"/>
  <c r="E54" i="46" s="1"/>
  <c r="D112" i="46"/>
  <c r="E112" i="46" s="1"/>
  <c r="D25" i="46"/>
  <c r="E25" i="46" s="1"/>
  <c r="D88" i="46"/>
  <c r="E88" i="46" s="1"/>
  <c r="D116" i="46"/>
  <c r="E116" i="46" s="1"/>
  <c r="D97" i="46"/>
  <c r="E97" i="46" s="1"/>
  <c r="D37" i="46"/>
  <c r="E37" i="46" s="1"/>
  <c r="D103" i="46"/>
  <c r="E103" i="46" s="1"/>
  <c r="D71" i="46"/>
  <c r="E71" i="46" s="1"/>
  <c r="D31" i="46"/>
  <c r="E31" i="46" s="1"/>
  <c r="D99" i="46"/>
  <c r="E99" i="46" s="1"/>
  <c r="D51" i="46"/>
  <c r="E51" i="46" s="1"/>
  <c r="D93" i="46"/>
  <c r="E93" i="46" s="1"/>
  <c r="D123" i="46"/>
  <c r="E123" i="46" s="1"/>
  <c r="D95" i="46"/>
  <c r="E95" i="46" s="1"/>
  <c r="D113" i="46"/>
  <c r="E113" i="46" s="1"/>
  <c r="D33" i="46"/>
  <c r="E33" i="46" s="1"/>
  <c r="D47" i="46"/>
  <c r="E47" i="46" s="1"/>
  <c r="D45" i="46"/>
  <c r="E45" i="46" s="1"/>
  <c r="D117" i="46"/>
  <c r="E117" i="46" s="1"/>
  <c r="D77" i="46"/>
  <c r="E77" i="46" s="1"/>
  <c r="D46" i="46"/>
  <c r="E46" i="46" s="1"/>
  <c r="D114" i="46"/>
  <c r="E114" i="46" s="1"/>
  <c r="D115" i="46"/>
  <c r="E115" i="46" s="1"/>
  <c r="D32" i="46"/>
  <c r="E32" i="46" s="1"/>
  <c r="D79" i="46"/>
  <c r="E79" i="46" s="1"/>
  <c r="D24" i="46"/>
  <c r="E24" i="46" s="1"/>
  <c r="F66" i="16"/>
  <c r="D27" i="46"/>
  <c r="E27" i="46" s="1"/>
  <c r="I59" i="16"/>
  <c r="D83" i="46" l="1"/>
  <c r="E83" i="46" s="1"/>
  <c r="D9" i="46"/>
  <c r="E9" i="46" s="1"/>
  <c r="D59" i="46"/>
  <c r="E59" i="46" s="1"/>
  <c r="D38" i="46"/>
  <c r="E38" i="46" s="1"/>
  <c r="D82" i="46"/>
  <c r="E82" i="46" s="1"/>
  <c r="D118" i="46"/>
  <c r="E118" i="46" s="1"/>
  <c r="D61" i="46"/>
  <c r="E61" i="46" s="1"/>
  <c r="D92" i="46"/>
  <c r="E92" i="46" s="1"/>
  <c r="D73" i="46"/>
  <c r="E73" i="46" s="1"/>
  <c r="D36" i="46"/>
  <c r="E36" i="46" s="1"/>
  <c r="D57" i="46"/>
  <c r="E57" i="46" s="1"/>
  <c r="D65" i="46"/>
  <c r="E65" i="46" s="1"/>
  <c r="D62" i="46"/>
  <c r="E62" i="46" s="1"/>
  <c r="D39" i="46"/>
  <c r="E39" i="46" s="1"/>
  <c r="D74" i="46"/>
  <c r="E74" i="46" s="1"/>
  <c r="D42" i="46"/>
  <c r="E42" i="46" s="1"/>
  <c r="D40" i="46"/>
  <c r="E40" i="46" s="1"/>
  <c r="D91" i="46"/>
  <c r="E91" i="46" s="1"/>
  <c r="D35" i="46"/>
  <c r="E35" i="46" s="1"/>
  <c r="D102" i="46"/>
  <c r="E102" i="46" s="1"/>
  <c r="D98" i="46"/>
  <c r="E98" i="46" s="1"/>
  <c r="D89" i="46"/>
  <c r="E89" i="46" s="1"/>
  <c r="D126" i="46"/>
  <c r="E126" i="46" s="1"/>
  <c r="D80" i="46"/>
  <c r="E80" i="46" s="1"/>
  <c r="D109" i="46"/>
  <c r="E109" i="46" s="1"/>
  <c r="D69" i="46"/>
  <c r="E69" i="46" s="1"/>
  <c r="D19" i="46"/>
  <c r="E19" i="46" s="1"/>
  <c r="D70" i="46"/>
  <c r="E70" i="46" s="1"/>
  <c r="D48" i="46"/>
  <c r="E48" i="46" s="1"/>
  <c r="D75" i="46"/>
  <c r="E75" i="46" s="1"/>
  <c r="D100" i="46"/>
  <c r="E100" i="46" s="1"/>
  <c r="D44" i="46"/>
  <c r="E44" i="46" s="1"/>
  <c r="D86" i="46"/>
  <c r="E86" i="46" s="1"/>
  <c r="D120" i="46"/>
  <c r="E120" i="46" s="1"/>
  <c r="D81" i="46"/>
  <c r="E81" i="46" s="1"/>
  <c r="D96" i="46"/>
  <c r="E96" i="46" s="1"/>
  <c r="D84" i="46"/>
  <c r="E84" i="46" s="1"/>
  <c r="D94" i="46"/>
  <c r="E94" i="46" s="1"/>
  <c r="D121" i="46"/>
  <c r="E121" i="46" s="1"/>
  <c r="D106" i="46"/>
  <c r="E106" i="46" s="1"/>
  <c r="D11" i="46"/>
  <c r="E11" i="46" s="1"/>
  <c r="D78" i="46"/>
  <c r="E78" i="46" s="1"/>
  <c r="D50" i="46"/>
  <c r="E50" i="46" s="1"/>
  <c r="D34" i="46"/>
  <c r="E34" i="46" s="1"/>
  <c r="D66" i="46"/>
  <c r="E66" i="46" s="1"/>
  <c r="D41" i="46"/>
  <c r="E41" i="46" s="1"/>
  <c r="D64" i="46"/>
  <c r="E64" i="46" s="1"/>
  <c r="D125" i="46"/>
  <c r="E125" i="46" s="1"/>
  <c r="D105" i="46"/>
  <c r="E105" i="46" s="1"/>
  <c r="D104" i="46"/>
  <c r="E104" i="46" s="1"/>
  <c r="G11" i="16"/>
  <c r="G25" i="16" s="1"/>
  <c r="F68" i="16" l="1"/>
  <c r="H11" i="16" l="1"/>
  <c r="H25" i="16" s="1"/>
  <c r="H59" i="16" l="1"/>
  <c r="J4" i="16"/>
  <c r="D13" i="46" l="1"/>
  <c r="E13" i="46" s="1"/>
  <c r="D23" i="46"/>
  <c r="E23" i="46" s="1"/>
  <c r="D53" i="46"/>
  <c r="E53" i="46" s="1"/>
  <c r="D58" i="46"/>
  <c r="E58" i="46" s="1"/>
  <c r="D16" i="46" l="1"/>
  <c r="E16" i="46" s="1"/>
  <c r="D17" i="46"/>
  <c r="E17" i="46" s="1"/>
  <c r="D72" i="46"/>
  <c r="E72" i="46" s="1"/>
  <c r="D63" i="46"/>
  <c r="E63" i="46" s="1"/>
  <c r="D20" i="46"/>
  <c r="E20" i="46" s="1"/>
  <c r="D22" i="46"/>
  <c r="E22" i="46" s="1"/>
  <c r="D76" i="46"/>
  <c r="E76" i="46" s="1"/>
  <c r="D68" i="46"/>
  <c r="E68" i="46" s="1"/>
  <c r="D14" i="46"/>
  <c r="E14" i="46" s="1"/>
  <c r="D12" i="46"/>
  <c r="E12" i="46" s="1"/>
  <c r="D67" i="46"/>
  <c r="E67" i="46" s="1"/>
  <c r="D18" i="46"/>
  <c r="E18" i="46" s="1"/>
  <c r="D21" i="46"/>
  <c r="E21" i="46" s="1"/>
  <c r="D15" i="46"/>
  <c r="E15" i="46" s="1"/>
  <c r="K4" i="16"/>
  <c r="I4" i="16"/>
  <c r="I61" i="16" s="1"/>
  <c r="E4" i="16" l="1"/>
  <c r="E61" i="16" s="1"/>
  <c r="C4" i="16"/>
  <c r="D107" i="46"/>
  <c r="E107" i="46" s="1"/>
  <c r="F18" i="46"/>
  <c r="F16" i="46"/>
  <c r="F23" i="46"/>
  <c r="F14" i="46"/>
  <c r="F24" i="46"/>
  <c r="F10" i="46"/>
  <c r="F20" i="46"/>
  <c r="F9" i="46"/>
  <c r="F7" i="46"/>
  <c r="F17" i="46"/>
  <c r="F13" i="46"/>
  <c r="F12" i="46"/>
  <c r="F8" i="46"/>
  <c r="F19" i="46"/>
  <c r="F22" i="46"/>
  <c r="F27" i="46"/>
  <c r="F11" i="46"/>
  <c r="F25" i="46"/>
  <c r="F15" i="46"/>
  <c r="F26" i="46"/>
  <c r="F21" i="46"/>
  <c r="C61" i="16" l="1"/>
  <c r="D65" i="16"/>
  <c r="E65" i="16"/>
  <c r="G4" i="16"/>
  <c r="G61" i="16" s="1"/>
  <c r="F107" i="46"/>
  <c r="F83" i="46"/>
  <c r="F65" i="46"/>
  <c r="F32" i="46"/>
  <c r="F39" i="46"/>
  <c r="F112" i="46"/>
  <c r="F96" i="46"/>
  <c r="F57" i="46"/>
  <c r="F97" i="46"/>
  <c r="F121" i="46"/>
  <c r="F109" i="46"/>
  <c r="F52" i="46"/>
  <c r="F46" i="46"/>
  <c r="F80" i="46"/>
  <c r="F130" i="46"/>
  <c r="F76" i="46"/>
  <c r="F61" i="46"/>
  <c r="F90" i="46"/>
  <c r="F102" i="46"/>
  <c r="F104" i="46"/>
  <c r="F103" i="46"/>
  <c r="F42" i="46"/>
  <c r="F128" i="46"/>
  <c r="F115" i="46"/>
  <c r="F94" i="46"/>
  <c r="F133" i="46"/>
  <c r="F135" i="46"/>
  <c r="F66" i="46"/>
  <c r="F91" i="46"/>
  <c r="F84" i="46"/>
  <c r="F59" i="46"/>
  <c r="F100" i="46"/>
  <c r="F85" i="46"/>
  <c r="F54" i="46"/>
  <c r="F132" i="46"/>
  <c r="F106" i="46"/>
  <c r="F82" i="46"/>
  <c r="F119" i="46"/>
  <c r="F60" i="46"/>
  <c r="F44" i="46"/>
  <c r="F131" i="46"/>
  <c r="F53" i="46"/>
  <c r="F113" i="46"/>
  <c r="F73" i="46"/>
  <c r="F124" i="46"/>
  <c r="F118" i="46"/>
  <c r="F55" i="46"/>
  <c r="F110" i="46"/>
  <c r="F38" i="46"/>
  <c r="F123" i="46"/>
  <c r="F75" i="46"/>
  <c r="F40" i="46"/>
  <c r="F101" i="46"/>
  <c r="F114" i="46"/>
  <c r="F129" i="46"/>
  <c r="F74" i="46"/>
  <c r="F98" i="46"/>
  <c r="F51" i="46"/>
  <c r="F68" i="46"/>
  <c r="F122" i="46"/>
  <c r="F45" i="46"/>
  <c r="F93" i="46"/>
  <c r="F111" i="46"/>
  <c r="F71" i="46"/>
  <c r="F56" i="46"/>
  <c r="F79" i="46"/>
  <c r="F105" i="46"/>
  <c r="F95" i="46"/>
  <c r="F81" i="46"/>
  <c r="F50" i="46"/>
  <c r="F99" i="46"/>
  <c r="F89" i="46"/>
  <c r="F37" i="46"/>
  <c r="F127" i="46"/>
  <c r="F134" i="46"/>
  <c r="F92" i="46"/>
  <c r="F48" i="46"/>
  <c r="F117" i="46"/>
  <c r="F126" i="46"/>
  <c r="F72" i="46"/>
  <c r="F86" i="46"/>
  <c r="F87" i="46"/>
  <c r="F108" i="46"/>
  <c r="F49" i="46"/>
  <c r="F120" i="46"/>
  <c r="F69" i="46"/>
  <c r="F41" i="46"/>
  <c r="F62" i="46"/>
  <c r="F116" i="46"/>
  <c r="F43" i="46"/>
  <c r="F58" i="46"/>
  <c r="F63" i="46"/>
  <c r="F88" i="46"/>
  <c r="F47" i="46"/>
  <c r="F33" i="46"/>
  <c r="F67" i="46"/>
  <c r="F35" i="46"/>
  <c r="F78" i="46"/>
  <c r="F70" i="46"/>
  <c r="F77" i="46"/>
  <c r="F125" i="46"/>
  <c r="F34" i="46"/>
  <c r="F64" i="46"/>
  <c r="F36" i="46"/>
  <c r="F31" i="46"/>
  <c r="H25" i="46"/>
  <c r="K25" i="46" s="1"/>
  <c r="S25" i="46" s="1"/>
  <c r="U25" i="46" s="1"/>
  <c r="H23" i="46"/>
  <c r="K23" i="46" s="1"/>
  <c r="S23" i="46" s="1"/>
  <c r="U23" i="46" s="1"/>
  <c r="H14" i="46"/>
  <c r="K14" i="46" s="1"/>
  <c r="H11" i="46"/>
  <c r="K11" i="46" s="1"/>
  <c r="H15" i="46"/>
  <c r="K15" i="46" s="1"/>
  <c r="H22" i="46"/>
  <c r="K22" i="46" s="1"/>
  <c r="S22" i="46" s="1"/>
  <c r="U22" i="46" s="1"/>
  <c r="H20" i="46"/>
  <c r="K20" i="46" s="1"/>
  <c r="S20" i="46" s="1"/>
  <c r="U20" i="46" s="1"/>
  <c r="H19" i="46"/>
  <c r="K19" i="46" s="1"/>
  <c r="H24" i="46"/>
  <c r="K24" i="46" s="1"/>
  <c r="S24" i="46" s="1"/>
  <c r="U24" i="46" s="1"/>
  <c r="H12" i="46"/>
  <c r="K12" i="46" s="1"/>
  <c r="H13" i="46"/>
  <c r="K13" i="46" s="1"/>
  <c r="H9" i="46"/>
  <c r="K9" i="46" s="1"/>
  <c r="H26" i="46"/>
  <c r="K26" i="46" s="1"/>
  <c r="S26" i="46" s="1"/>
  <c r="U26" i="46" s="1"/>
  <c r="H7" i="46"/>
  <c r="K7" i="46" s="1"/>
  <c r="H10" i="46"/>
  <c r="K10" i="46" s="1"/>
  <c r="H17" i="46"/>
  <c r="K17" i="46" s="1"/>
  <c r="H16" i="46"/>
  <c r="K16" i="46" s="1"/>
  <c r="H21" i="46"/>
  <c r="K21" i="46" s="1"/>
  <c r="S21" i="46" s="1"/>
  <c r="U21" i="46" s="1"/>
  <c r="H27" i="46"/>
  <c r="K27" i="46" s="1"/>
  <c r="S27" i="46" s="1"/>
  <c r="U27" i="46" s="1"/>
  <c r="H18" i="46"/>
  <c r="K18" i="46" s="1"/>
  <c r="H8" i="46"/>
  <c r="K8" i="46" s="1"/>
  <c r="F65" i="16" l="1"/>
  <c r="E69" i="16"/>
  <c r="E72" i="16" s="1"/>
  <c r="D4" i="16"/>
  <c r="D61" i="16" s="1"/>
  <c r="N27" i="46"/>
  <c r="N22" i="46"/>
  <c r="N26" i="46"/>
  <c r="N24" i="46"/>
  <c r="N25" i="46"/>
  <c r="N23" i="46"/>
  <c r="H81" i="46"/>
  <c r="K81" i="46" s="1"/>
  <c r="H42" i="46"/>
  <c r="K42" i="46" s="1"/>
  <c r="L42" i="46" s="1"/>
  <c r="H106" i="46"/>
  <c r="K106" i="46" s="1"/>
  <c r="H103" i="46"/>
  <c r="K103" i="46" s="1"/>
  <c r="H120" i="46"/>
  <c r="K120" i="46" s="1"/>
  <c r="H36" i="46"/>
  <c r="K36" i="46" s="1"/>
  <c r="L36" i="46" s="1"/>
  <c r="H37" i="46"/>
  <c r="K37" i="46" s="1"/>
  <c r="L37" i="46" s="1"/>
  <c r="H101" i="46"/>
  <c r="K101" i="46" s="1"/>
  <c r="H62" i="46"/>
  <c r="K62" i="46" s="1"/>
  <c r="H126" i="46"/>
  <c r="K126" i="46" s="1"/>
  <c r="H32" i="46"/>
  <c r="K32" i="46" s="1"/>
  <c r="L32" i="46" s="1"/>
  <c r="H51" i="46"/>
  <c r="K51" i="46" s="1"/>
  <c r="L51" i="46" s="1"/>
  <c r="H76" i="46"/>
  <c r="K76" i="46" s="1"/>
  <c r="H73" i="46"/>
  <c r="K73" i="46" s="1"/>
  <c r="H34" i="46"/>
  <c r="K34" i="46" s="1"/>
  <c r="L34" i="46" s="1"/>
  <c r="H98" i="46"/>
  <c r="K98" i="46" s="1"/>
  <c r="H87" i="46"/>
  <c r="K87" i="46" s="1"/>
  <c r="H104" i="46"/>
  <c r="K104" i="46" s="1"/>
  <c r="H123" i="46"/>
  <c r="K123" i="46" s="1"/>
  <c r="H45" i="46"/>
  <c r="K45" i="46" s="1"/>
  <c r="L45" i="46" s="1"/>
  <c r="H109" i="46"/>
  <c r="K109" i="46" s="1"/>
  <c r="H70" i="46"/>
  <c r="K70" i="46" s="1"/>
  <c r="H134" i="46"/>
  <c r="K134" i="46" s="1"/>
  <c r="H48" i="46"/>
  <c r="K48" i="46" s="1"/>
  <c r="L48" i="46" s="1"/>
  <c r="H67" i="46"/>
  <c r="K67" i="46" s="1"/>
  <c r="H92" i="46"/>
  <c r="K92" i="46" s="1"/>
  <c r="H33" i="46"/>
  <c r="K33" i="46" s="1"/>
  <c r="L33" i="46" s="1"/>
  <c r="H97" i="46"/>
  <c r="K97" i="46" s="1"/>
  <c r="H58" i="46"/>
  <c r="K58" i="46" s="1"/>
  <c r="H122" i="46"/>
  <c r="K122" i="46" s="1"/>
  <c r="H135" i="46"/>
  <c r="K135" i="46" s="1"/>
  <c r="H43" i="46"/>
  <c r="K43" i="46" s="1"/>
  <c r="L43" i="46" s="1"/>
  <c r="H68" i="46"/>
  <c r="K68" i="46" s="1"/>
  <c r="H53" i="46"/>
  <c r="K53" i="46" s="1"/>
  <c r="L53" i="46" s="1"/>
  <c r="H117" i="46"/>
  <c r="K117" i="46" s="1"/>
  <c r="H78" i="46"/>
  <c r="K78" i="46" s="1"/>
  <c r="H47" i="46"/>
  <c r="K47" i="46" s="1"/>
  <c r="L47" i="46" s="1"/>
  <c r="H64" i="46"/>
  <c r="K64" i="46" s="1"/>
  <c r="H83" i="46"/>
  <c r="K83" i="46" s="1"/>
  <c r="H108" i="46"/>
  <c r="K108" i="46" s="1"/>
  <c r="H89" i="46"/>
  <c r="K89" i="46" s="1"/>
  <c r="H50" i="46"/>
  <c r="K50" i="46" s="1"/>
  <c r="L50" i="46" s="1"/>
  <c r="H114" i="46"/>
  <c r="K114" i="46" s="1"/>
  <c r="H119" i="46"/>
  <c r="K119" i="46" s="1"/>
  <c r="H31" i="46"/>
  <c r="K31" i="46" s="1"/>
  <c r="L31" i="46" s="1"/>
  <c r="H52" i="46"/>
  <c r="K52" i="46" s="1"/>
  <c r="L52" i="46" s="1"/>
  <c r="H61" i="46"/>
  <c r="K61" i="46" s="1"/>
  <c r="H125" i="46"/>
  <c r="K125" i="46" s="1"/>
  <c r="H86" i="46"/>
  <c r="K86" i="46" s="1"/>
  <c r="H63" i="46"/>
  <c r="K63" i="46" s="1"/>
  <c r="H80" i="46"/>
  <c r="K80" i="46" s="1"/>
  <c r="H99" i="46"/>
  <c r="K99" i="46" s="1"/>
  <c r="H124" i="46"/>
  <c r="K124" i="46" s="1"/>
  <c r="H49" i="46"/>
  <c r="K49" i="46" s="1"/>
  <c r="L49" i="46" s="1"/>
  <c r="H113" i="46"/>
  <c r="K113" i="46" s="1"/>
  <c r="H74" i="46"/>
  <c r="K74" i="46" s="1"/>
  <c r="H39" i="46"/>
  <c r="K39" i="46" s="1"/>
  <c r="L39" i="46" s="1"/>
  <c r="H56" i="46"/>
  <c r="K56" i="46" s="1"/>
  <c r="L56" i="46" s="1"/>
  <c r="H75" i="46"/>
  <c r="K75" i="46" s="1"/>
  <c r="H100" i="46"/>
  <c r="K100" i="46" s="1"/>
  <c r="H69" i="46"/>
  <c r="K69" i="46" s="1"/>
  <c r="H133" i="46"/>
  <c r="K133" i="46" s="1"/>
  <c r="H94" i="46"/>
  <c r="K94" i="46" s="1"/>
  <c r="H79" i="46"/>
  <c r="K79" i="46" s="1"/>
  <c r="H96" i="46"/>
  <c r="K96" i="46" s="1"/>
  <c r="H115" i="46"/>
  <c r="K115" i="46" s="1"/>
  <c r="H41" i="46"/>
  <c r="K41" i="46" s="1"/>
  <c r="L41" i="46" s="1"/>
  <c r="H105" i="46"/>
  <c r="K105" i="46" s="1"/>
  <c r="H66" i="46"/>
  <c r="K66" i="46" s="1"/>
  <c r="H130" i="46"/>
  <c r="K130" i="46" s="1"/>
  <c r="H40" i="46"/>
  <c r="K40" i="46" s="1"/>
  <c r="L40" i="46" s="1"/>
  <c r="H59" i="46"/>
  <c r="K59" i="46" s="1"/>
  <c r="H84" i="46"/>
  <c r="K84" i="46" s="1"/>
  <c r="H77" i="46"/>
  <c r="K77" i="46" s="1"/>
  <c r="H38" i="46"/>
  <c r="K38" i="46" s="1"/>
  <c r="L38" i="46" s="1"/>
  <c r="H102" i="46"/>
  <c r="K102" i="46" s="1"/>
  <c r="H95" i="46"/>
  <c r="K95" i="46" s="1"/>
  <c r="H112" i="46"/>
  <c r="K112" i="46" s="1"/>
  <c r="H131" i="46"/>
  <c r="K131" i="46" s="1"/>
  <c r="H65" i="46"/>
  <c r="K65" i="46" s="1"/>
  <c r="H129" i="46"/>
  <c r="K129" i="46" s="1"/>
  <c r="H90" i="46"/>
  <c r="K90" i="46" s="1"/>
  <c r="H71" i="46"/>
  <c r="K71" i="46" s="1"/>
  <c r="H88" i="46"/>
  <c r="K88" i="46" s="1"/>
  <c r="H107" i="46"/>
  <c r="K107" i="46" s="1"/>
  <c r="H132" i="46"/>
  <c r="K132" i="46" s="1"/>
  <c r="H85" i="46"/>
  <c r="K85" i="46" s="1"/>
  <c r="H46" i="46"/>
  <c r="K46" i="46" s="1"/>
  <c r="L46" i="46" s="1"/>
  <c r="H110" i="46"/>
  <c r="K110" i="46" s="1"/>
  <c r="H111" i="46"/>
  <c r="K111" i="46" s="1"/>
  <c r="H128" i="46"/>
  <c r="K128" i="46" s="1"/>
  <c r="H44" i="46"/>
  <c r="K44" i="46" s="1"/>
  <c r="L44" i="46" s="1"/>
  <c r="H57" i="46"/>
  <c r="K57" i="46" s="1"/>
  <c r="L57" i="46" s="1"/>
  <c r="H121" i="46"/>
  <c r="K121" i="46" s="1"/>
  <c r="H82" i="46"/>
  <c r="K82" i="46" s="1"/>
  <c r="H55" i="46"/>
  <c r="K55" i="46" s="1"/>
  <c r="L55" i="46" s="1"/>
  <c r="H72" i="46"/>
  <c r="K72" i="46" s="1"/>
  <c r="H91" i="46"/>
  <c r="K91" i="46" s="1"/>
  <c r="H116" i="46"/>
  <c r="K116" i="46" s="1"/>
  <c r="H93" i="46"/>
  <c r="K93" i="46" s="1"/>
  <c r="H54" i="46"/>
  <c r="K54" i="46" s="1"/>
  <c r="L54" i="46" s="1"/>
  <c r="H118" i="46"/>
  <c r="K118" i="46" s="1"/>
  <c r="H127" i="46"/>
  <c r="K127" i="46" s="1"/>
  <c r="H35" i="46"/>
  <c r="K35" i="46" s="1"/>
  <c r="L35" i="46" s="1"/>
  <c r="H60" i="46"/>
  <c r="K60" i="46" s="1"/>
  <c r="L18" i="46"/>
  <c r="M18" i="46"/>
  <c r="L17" i="46"/>
  <c r="M17" i="46"/>
  <c r="L9" i="46"/>
  <c r="M9" i="46"/>
  <c r="L19" i="46"/>
  <c r="M19" i="46"/>
  <c r="L11" i="46"/>
  <c r="M11" i="46"/>
  <c r="L27" i="46"/>
  <c r="M27" i="46"/>
  <c r="M10" i="46"/>
  <c r="L10" i="46"/>
  <c r="M13" i="46"/>
  <c r="L13" i="46"/>
  <c r="L20" i="46"/>
  <c r="M20" i="46"/>
  <c r="L14" i="46"/>
  <c r="M14" i="46"/>
  <c r="M21" i="46"/>
  <c r="L21" i="46"/>
  <c r="L7" i="46"/>
  <c r="M7" i="46"/>
  <c r="M12" i="46"/>
  <c r="L12" i="46"/>
  <c r="M22" i="46"/>
  <c r="L22" i="46"/>
  <c r="M23" i="46"/>
  <c r="L23" i="46"/>
  <c r="L8" i="46"/>
  <c r="M8" i="46"/>
  <c r="L16" i="46"/>
  <c r="M16" i="46"/>
  <c r="M26" i="46"/>
  <c r="L26" i="46"/>
  <c r="M24" i="46"/>
  <c r="L24" i="46"/>
  <c r="M15" i="46"/>
  <c r="L15" i="46"/>
  <c r="M25" i="46"/>
  <c r="L25" i="46"/>
  <c r="S72" i="46" l="1"/>
  <c r="L72" i="46"/>
  <c r="L110" i="46"/>
  <c r="S110" i="46"/>
  <c r="L95" i="46"/>
  <c r="S95" i="46"/>
  <c r="L66" i="46"/>
  <c r="S66" i="46"/>
  <c r="S69" i="46"/>
  <c r="L69" i="46"/>
  <c r="L86" i="46"/>
  <c r="S86" i="46"/>
  <c r="S89" i="46"/>
  <c r="L89" i="46"/>
  <c r="L58" i="46"/>
  <c r="L87" i="46"/>
  <c r="S87" i="46"/>
  <c r="L62" i="46"/>
  <c r="S62" i="46"/>
  <c r="L81" i="46"/>
  <c r="S81" i="46"/>
  <c r="L93" i="46"/>
  <c r="S93" i="46"/>
  <c r="L65" i="46"/>
  <c r="S65" i="46"/>
  <c r="L102" i="46"/>
  <c r="S102" i="46"/>
  <c r="L79" i="46"/>
  <c r="S79" i="46"/>
  <c r="S74" i="46"/>
  <c r="L74" i="46"/>
  <c r="L125" i="46"/>
  <c r="S125" i="46"/>
  <c r="S108" i="46"/>
  <c r="L108" i="46"/>
  <c r="L78" i="46"/>
  <c r="S78" i="46"/>
  <c r="L97" i="46"/>
  <c r="S97" i="46"/>
  <c r="S98" i="46"/>
  <c r="L98" i="46"/>
  <c r="S101" i="46"/>
  <c r="L101" i="46"/>
  <c r="L127" i="46"/>
  <c r="S127" i="46"/>
  <c r="S116" i="46"/>
  <c r="L116" i="46"/>
  <c r="L82" i="46"/>
  <c r="S82" i="46"/>
  <c r="S128" i="46"/>
  <c r="L128" i="46"/>
  <c r="S85" i="46"/>
  <c r="L85" i="46"/>
  <c r="L71" i="46"/>
  <c r="S71" i="46"/>
  <c r="L131" i="46"/>
  <c r="S131" i="46"/>
  <c r="L94" i="46"/>
  <c r="S94" i="46"/>
  <c r="L75" i="46"/>
  <c r="S75" i="46"/>
  <c r="L113" i="46"/>
  <c r="S113" i="46"/>
  <c r="S80" i="46"/>
  <c r="L80" i="46"/>
  <c r="L61" i="46"/>
  <c r="S61" i="46"/>
  <c r="L114" i="46"/>
  <c r="S114" i="46"/>
  <c r="L83" i="46"/>
  <c r="S83" i="46"/>
  <c r="S117" i="46"/>
  <c r="L117" i="46"/>
  <c r="L135" i="46"/>
  <c r="S135" i="46"/>
  <c r="L134" i="46"/>
  <c r="S134" i="46"/>
  <c r="L123" i="46"/>
  <c r="S123" i="46"/>
  <c r="S106" i="46"/>
  <c r="L106" i="46"/>
  <c r="S60" i="46"/>
  <c r="L60" i="46"/>
  <c r="L107" i="46"/>
  <c r="S107" i="46"/>
  <c r="L129" i="46"/>
  <c r="S129" i="46"/>
  <c r="S84" i="46"/>
  <c r="L84" i="46"/>
  <c r="S96" i="46"/>
  <c r="L96" i="46"/>
  <c r="S124" i="46"/>
  <c r="L124" i="46"/>
  <c r="S68" i="46"/>
  <c r="L68" i="46"/>
  <c r="L67" i="46"/>
  <c r="S67" i="46"/>
  <c r="L109" i="46"/>
  <c r="S109" i="46"/>
  <c r="S76" i="46"/>
  <c r="L76" i="46"/>
  <c r="S120" i="46"/>
  <c r="L120" i="46"/>
  <c r="S88" i="46"/>
  <c r="L88" i="46"/>
  <c r="L59" i="46"/>
  <c r="S59" i="46"/>
  <c r="S105" i="46"/>
  <c r="L105" i="46"/>
  <c r="S100" i="46"/>
  <c r="L100" i="46"/>
  <c r="L99" i="46"/>
  <c r="S99" i="46"/>
  <c r="L119" i="46"/>
  <c r="S119" i="46"/>
  <c r="L103" i="46"/>
  <c r="S103" i="46"/>
  <c r="L118" i="46"/>
  <c r="S118" i="46"/>
  <c r="L91" i="46"/>
  <c r="S91" i="46"/>
  <c r="S121" i="46"/>
  <c r="L121" i="46"/>
  <c r="L111" i="46"/>
  <c r="S111" i="46"/>
  <c r="S132" i="46"/>
  <c r="L132" i="46"/>
  <c r="S90" i="46"/>
  <c r="L90" i="46"/>
  <c r="S112" i="46"/>
  <c r="L112" i="46"/>
  <c r="L77" i="46"/>
  <c r="S77" i="46"/>
  <c r="S130" i="46"/>
  <c r="L130" i="46"/>
  <c r="L115" i="46"/>
  <c r="S115" i="46"/>
  <c r="S133" i="46"/>
  <c r="L133" i="46"/>
  <c r="L63" i="46"/>
  <c r="S63" i="46"/>
  <c r="S64" i="46"/>
  <c r="L64" i="46"/>
  <c r="S122" i="46"/>
  <c r="L122" i="46"/>
  <c r="S92" i="46"/>
  <c r="L92" i="46"/>
  <c r="L70" i="46"/>
  <c r="S70" i="46"/>
  <c r="S104" i="46"/>
  <c r="L104" i="46"/>
  <c r="S73" i="46"/>
  <c r="L73" i="46"/>
  <c r="L126" i="46"/>
  <c r="S126" i="46"/>
  <c r="D67" i="16"/>
  <c r="D69" i="16" s="1"/>
  <c r="D72" i="16" s="1"/>
  <c r="H4" i="16"/>
  <c r="N21" i="46"/>
  <c r="N19" i="46"/>
  <c r="N20" i="46"/>
  <c r="N18" i="46"/>
  <c r="N17" i="46"/>
  <c r="N16" i="46"/>
  <c r="N15" i="46"/>
  <c r="N12" i="46"/>
  <c r="N14" i="46"/>
  <c r="N8" i="46"/>
  <c r="N9" i="46"/>
  <c r="N13" i="46"/>
  <c r="M60" i="46"/>
  <c r="N72" i="46"/>
  <c r="M72" i="46"/>
  <c r="N110" i="46"/>
  <c r="M110" i="46"/>
  <c r="N95" i="46"/>
  <c r="M95" i="46"/>
  <c r="N66" i="46"/>
  <c r="M66" i="46"/>
  <c r="N69" i="46"/>
  <c r="M69" i="46"/>
  <c r="N124" i="46"/>
  <c r="M124" i="46"/>
  <c r="M31" i="46"/>
  <c r="N68" i="46"/>
  <c r="M68" i="46"/>
  <c r="M58" i="46"/>
  <c r="N109" i="46"/>
  <c r="M109" i="46"/>
  <c r="N87" i="46"/>
  <c r="M87" i="46"/>
  <c r="N76" i="46"/>
  <c r="M76" i="46"/>
  <c r="N62" i="46"/>
  <c r="M62" i="46"/>
  <c r="N120" i="46"/>
  <c r="M120" i="46"/>
  <c r="N81" i="46"/>
  <c r="M81" i="46"/>
  <c r="N10" i="46"/>
  <c r="N7" i="46"/>
  <c r="M35" i="46"/>
  <c r="N93" i="46"/>
  <c r="M93" i="46"/>
  <c r="M44" i="46"/>
  <c r="N88" i="46"/>
  <c r="M88" i="46"/>
  <c r="M59" i="46"/>
  <c r="N105" i="46"/>
  <c r="M105" i="46"/>
  <c r="N100" i="46"/>
  <c r="M100" i="46"/>
  <c r="N99" i="46"/>
  <c r="M99" i="46"/>
  <c r="N119" i="46"/>
  <c r="M119" i="46"/>
  <c r="N78" i="46"/>
  <c r="M78" i="46"/>
  <c r="N97" i="46"/>
  <c r="M97" i="46"/>
  <c r="M45" i="46"/>
  <c r="M51" i="46"/>
  <c r="N101" i="46"/>
  <c r="M101" i="46"/>
  <c r="N103" i="46"/>
  <c r="M103" i="46"/>
  <c r="N11" i="46"/>
  <c r="N127" i="46"/>
  <c r="M127" i="46"/>
  <c r="N116" i="46"/>
  <c r="M116" i="46"/>
  <c r="N82" i="46"/>
  <c r="M82" i="46"/>
  <c r="N128" i="46"/>
  <c r="M128" i="46"/>
  <c r="N85" i="46"/>
  <c r="M85" i="46"/>
  <c r="N71" i="46"/>
  <c r="M71" i="46"/>
  <c r="N131" i="46"/>
  <c r="M131" i="46"/>
  <c r="M38" i="46"/>
  <c r="M40" i="46"/>
  <c r="M41" i="46"/>
  <c r="N94" i="46"/>
  <c r="M94" i="46"/>
  <c r="N75" i="46"/>
  <c r="M75" i="46"/>
  <c r="N113" i="46"/>
  <c r="M113" i="46"/>
  <c r="N80" i="46"/>
  <c r="M80" i="46"/>
  <c r="M61" i="46"/>
  <c r="N114" i="46"/>
  <c r="M114" i="46"/>
  <c r="N83" i="46"/>
  <c r="M83" i="46"/>
  <c r="N117" i="46"/>
  <c r="M117" i="46"/>
  <c r="N135" i="46"/>
  <c r="M135" i="46"/>
  <c r="M33" i="46"/>
  <c r="N134" i="46"/>
  <c r="M134" i="46"/>
  <c r="N123" i="46"/>
  <c r="M123" i="46"/>
  <c r="M34" i="46"/>
  <c r="M32" i="46"/>
  <c r="M37" i="46"/>
  <c r="N106" i="46"/>
  <c r="M106" i="46"/>
  <c r="M54" i="46"/>
  <c r="M57" i="46"/>
  <c r="N107" i="46"/>
  <c r="M107" i="46"/>
  <c r="N129" i="46"/>
  <c r="M129" i="46"/>
  <c r="N84" i="46"/>
  <c r="M84" i="46"/>
  <c r="N96" i="46"/>
  <c r="M96" i="46"/>
  <c r="M39" i="46"/>
  <c r="N86" i="46"/>
  <c r="M86" i="46"/>
  <c r="N89" i="46"/>
  <c r="M89" i="46"/>
  <c r="M47" i="46"/>
  <c r="N67" i="46"/>
  <c r="M67" i="46"/>
  <c r="M55" i="46"/>
  <c r="M46" i="46"/>
  <c r="N65" i="46"/>
  <c r="M65" i="46"/>
  <c r="N102" i="46"/>
  <c r="M102" i="46"/>
  <c r="N79" i="46"/>
  <c r="M79" i="46"/>
  <c r="N74" i="46"/>
  <c r="M74" i="46"/>
  <c r="N125" i="46"/>
  <c r="M125" i="46"/>
  <c r="N108" i="46"/>
  <c r="M108" i="46"/>
  <c r="M43" i="46"/>
  <c r="M48" i="46"/>
  <c r="N98" i="46"/>
  <c r="M98" i="46"/>
  <c r="N118" i="46"/>
  <c r="M118" i="46"/>
  <c r="N91" i="46"/>
  <c r="M91" i="46"/>
  <c r="N121" i="46"/>
  <c r="M121" i="46"/>
  <c r="N111" i="46"/>
  <c r="M111" i="46"/>
  <c r="N132" i="46"/>
  <c r="M132" i="46"/>
  <c r="N90" i="46"/>
  <c r="M90" i="46"/>
  <c r="N112" i="46"/>
  <c r="M112" i="46"/>
  <c r="N77" i="46"/>
  <c r="M77" i="46"/>
  <c r="N130" i="46"/>
  <c r="M130" i="46"/>
  <c r="N115" i="46"/>
  <c r="M115" i="46"/>
  <c r="N133" i="46"/>
  <c r="M133" i="46"/>
  <c r="M56" i="46"/>
  <c r="M49" i="46"/>
  <c r="N63" i="46"/>
  <c r="M63" i="46"/>
  <c r="M52" i="46"/>
  <c r="M50" i="46"/>
  <c r="N64" i="46"/>
  <c r="M64" i="46"/>
  <c r="M53" i="46"/>
  <c r="N122" i="46"/>
  <c r="M122" i="46"/>
  <c r="N92" i="46"/>
  <c r="M92" i="46"/>
  <c r="N70" i="46"/>
  <c r="M70" i="46"/>
  <c r="N104" i="46"/>
  <c r="M104" i="46"/>
  <c r="N73" i="46"/>
  <c r="M73" i="46"/>
  <c r="N126" i="46"/>
  <c r="M126" i="46"/>
  <c r="M36" i="46"/>
  <c r="M42" i="46"/>
  <c r="T25" i="46"/>
  <c r="V25" i="46"/>
  <c r="V24" i="46"/>
  <c r="T24" i="46"/>
  <c r="T23" i="46"/>
  <c r="V23" i="46"/>
  <c r="V26" i="46"/>
  <c r="T26" i="46"/>
  <c r="T27" i="46"/>
  <c r="V27" i="46"/>
  <c r="V22" i="46"/>
  <c r="T22" i="46"/>
  <c r="T73" i="46" l="1"/>
  <c r="U73" i="46"/>
  <c r="U122" i="46"/>
  <c r="T122" i="46"/>
  <c r="U90" i="46"/>
  <c r="T90" i="46"/>
  <c r="T105" i="46"/>
  <c r="U105" i="46"/>
  <c r="U88" i="46"/>
  <c r="T88" i="46"/>
  <c r="U76" i="46"/>
  <c r="T76" i="46"/>
  <c r="U124" i="46"/>
  <c r="T124" i="46"/>
  <c r="U84" i="46"/>
  <c r="T84" i="46"/>
  <c r="U106" i="46"/>
  <c r="T106" i="46"/>
  <c r="U117" i="46"/>
  <c r="T117" i="46"/>
  <c r="U80" i="46"/>
  <c r="T80" i="46"/>
  <c r="U85" i="46"/>
  <c r="T85" i="46"/>
  <c r="U98" i="46"/>
  <c r="T98" i="46"/>
  <c r="U86" i="46"/>
  <c r="T86" i="46"/>
  <c r="U66" i="46"/>
  <c r="T66" i="46"/>
  <c r="U110" i="46"/>
  <c r="T110" i="46"/>
  <c r="U126" i="46"/>
  <c r="T126" i="46"/>
  <c r="U118" i="46"/>
  <c r="T118" i="46"/>
  <c r="U119" i="46"/>
  <c r="T119" i="46"/>
  <c r="T59" i="46"/>
  <c r="U59" i="46"/>
  <c r="U109" i="46"/>
  <c r="T109" i="46"/>
  <c r="T129" i="46"/>
  <c r="U129" i="46"/>
  <c r="T123" i="46"/>
  <c r="U123" i="46"/>
  <c r="U135" i="46"/>
  <c r="T135" i="46"/>
  <c r="T83" i="46"/>
  <c r="U83" i="46"/>
  <c r="U61" i="46"/>
  <c r="T61" i="46"/>
  <c r="T113" i="46"/>
  <c r="U113" i="46"/>
  <c r="U94" i="46"/>
  <c r="T94" i="46"/>
  <c r="U71" i="46"/>
  <c r="T71" i="46"/>
  <c r="T97" i="46"/>
  <c r="U97" i="46"/>
  <c r="U102" i="46"/>
  <c r="T102" i="46"/>
  <c r="U93" i="46"/>
  <c r="T93" i="46"/>
  <c r="U62" i="46"/>
  <c r="T62" i="46"/>
  <c r="U104" i="46"/>
  <c r="T104" i="46"/>
  <c r="U92" i="46"/>
  <c r="T92" i="46"/>
  <c r="U64" i="46"/>
  <c r="T64" i="46"/>
  <c r="U133" i="46"/>
  <c r="T133" i="46"/>
  <c r="U130" i="46"/>
  <c r="T130" i="46"/>
  <c r="U112" i="46"/>
  <c r="T112" i="46"/>
  <c r="U132" i="46"/>
  <c r="T132" i="46"/>
  <c r="T121" i="46"/>
  <c r="U121" i="46"/>
  <c r="U100" i="46"/>
  <c r="T100" i="46"/>
  <c r="U120" i="46"/>
  <c r="T120" i="46"/>
  <c r="U68" i="46"/>
  <c r="T68" i="46"/>
  <c r="U96" i="46"/>
  <c r="T96" i="46"/>
  <c r="U60" i="46"/>
  <c r="T60" i="46"/>
  <c r="U128" i="46"/>
  <c r="T128" i="46"/>
  <c r="U116" i="46"/>
  <c r="T116" i="46"/>
  <c r="U101" i="46"/>
  <c r="T101" i="46"/>
  <c r="U108" i="46"/>
  <c r="T108" i="46"/>
  <c r="U74" i="46"/>
  <c r="T74" i="46"/>
  <c r="U95" i="46"/>
  <c r="T95" i="46"/>
  <c r="U70" i="46"/>
  <c r="T70" i="46"/>
  <c r="U63" i="46"/>
  <c r="T63" i="46"/>
  <c r="T115" i="46"/>
  <c r="U115" i="46"/>
  <c r="U77" i="46"/>
  <c r="T77" i="46"/>
  <c r="U111" i="46"/>
  <c r="T111" i="46"/>
  <c r="T91" i="46"/>
  <c r="U91" i="46"/>
  <c r="U103" i="46"/>
  <c r="T103" i="46"/>
  <c r="T99" i="46"/>
  <c r="U99" i="46"/>
  <c r="T67" i="46"/>
  <c r="U67" i="46"/>
  <c r="T107" i="46"/>
  <c r="U107" i="46"/>
  <c r="U134" i="46"/>
  <c r="T134" i="46"/>
  <c r="U114" i="46"/>
  <c r="T114" i="46"/>
  <c r="T75" i="46"/>
  <c r="U75" i="46"/>
  <c r="T131" i="46"/>
  <c r="U131" i="46"/>
  <c r="U82" i="46"/>
  <c r="T82" i="46"/>
  <c r="U127" i="46"/>
  <c r="T127" i="46"/>
  <c r="U78" i="46"/>
  <c r="T78" i="46"/>
  <c r="U125" i="46"/>
  <c r="T125" i="46"/>
  <c r="U79" i="46"/>
  <c r="T79" i="46"/>
  <c r="T65" i="46"/>
  <c r="U65" i="46"/>
  <c r="T81" i="46"/>
  <c r="U81" i="46"/>
  <c r="U87" i="46"/>
  <c r="T87" i="46"/>
  <c r="T89" i="46"/>
  <c r="U89" i="46"/>
  <c r="U69" i="46"/>
  <c r="T69" i="46"/>
  <c r="U72" i="46"/>
  <c r="T72" i="46"/>
  <c r="H61" i="16"/>
  <c r="F67" i="16" s="1"/>
  <c r="T21" i="46"/>
  <c r="V21" i="46" s="1"/>
  <c r="T20" i="46"/>
  <c r="V20" i="46" s="1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31" i="46"/>
  <c r="N47" i="46"/>
  <c r="N41" i="46"/>
  <c r="N46" i="46"/>
  <c r="N39" i="46"/>
  <c r="N37" i="46"/>
  <c r="N40" i="46"/>
  <c r="N48" i="46"/>
  <c r="N44" i="46"/>
  <c r="N42" i="46"/>
  <c r="N32" i="46"/>
  <c r="N43" i="46"/>
  <c r="N45" i="46"/>
  <c r="N36" i="46"/>
  <c r="N38" i="46"/>
  <c r="N35" i="46"/>
  <c r="N34" i="46"/>
  <c r="N33" i="46"/>
  <c r="P11" i="46"/>
  <c r="S11" i="46" s="1"/>
  <c r="U11" i="46" s="1"/>
  <c r="P15" i="46"/>
  <c r="S15" i="46" s="1"/>
  <c r="U15" i="46" s="1"/>
  <c r="P19" i="46"/>
  <c r="S19" i="46" s="1"/>
  <c r="U19" i="46" s="1"/>
  <c r="P23" i="46"/>
  <c r="P27" i="46"/>
  <c r="P8" i="46"/>
  <c r="S8" i="46" s="1"/>
  <c r="U8" i="46" s="1"/>
  <c r="P13" i="46"/>
  <c r="S13" i="46" s="1"/>
  <c r="U13" i="46" s="1"/>
  <c r="P18" i="46"/>
  <c r="S18" i="46" s="1"/>
  <c r="U18" i="46" s="1"/>
  <c r="P24" i="46"/>
  <c r="P9" i="46"/>
  <c r="S9" i="46" s="1"/>
  <c r="U9" i="46" s="1"/>
  <c r="P14" i="46"/>
  <c r="S14" i="46" s="1"/>
  <c r="U14" i="46" s="1"/>
  <c r="P20" i="46"/>
  <c r="P25" i="46"/>
  <c r="P10" i="46"/>
  <c r="S10" i="46" s="1"/>
  <c r="U10" i="46" s="1"/>
  <c r="P21" i="46"/>
  <c r="P12" i="46"/>
  <c r="S12" i="46" s="1"/>
  <c r="U12" i="46" s="1"/>
  <c r="P22" i="46"/>
  <c r="P16" i="46"/>
  <c r="S16" i="46" s="1"/>
  <c r="U16" i="46" s="1"/>
  <c r="P26" i="46"/>
  <c r="P17" i="46"/>
  <c r="S17" i="46" s="1"/>
  <c r="P7" i="46"/>
  <c r="S7" i="46" s="1"/>
  <c r="U7" i="46" s="1"/>
  <c r="V62" i="46"/>
  <c r="V67" i="46"/>
  <c r="V89" i="46"/>
  <c r="V86" i="46"/>
  <c r="V96" i="46"/>
  <c r="V85" i="46"/>
  <c r="V82" i="46"/>
  <c r="V99" i="46"/>
  <c r="V105" i="46"/>
  <c r="V94" i="46"/>
  <c r="V81" i="46"/>
  <c r="V76" i="46"/>
  <c r="V109" i="46"/>
  <c r="V68" i="46"/>
  <c r="V124" i="46"/>
  <c r="V107" i="46"/>
  <c r="V134" i="46"/>
  <c r="V117" i="46"/>
  <c r="V114" i="46"/>
  <c r="V101" i="46"/>
  <c r="V97" i="46"/>
  <c r="V119" i="46"/>
  <c r="V88" i="46"/>
  <c r="V70" i="46"/>
  <c r="V92" i="46"/>
  <c r="V122" i="46"/>
  <c r="V90" i="46"/>
  <c r="V118" i="46"/>
  <c r="V106" i="46"/>
  <c r="V123" i="46"/>
  <c r="V128" i="46"/>
  <c r="V116" i="46"/>
  <c r="V102" i="46"/>
  <c r="V120" i="46"/>
  <c r="V87" i="46"/>
  <c r="V69" i="46"/>
  <c r="V66" i="46"/>
  <c r="V84" i="46"/>
  <c r="V135" i="46"/>
  <c r="V75" i="46"/>
  <c r="V131" i="46"/>
  <c r="V98" i="46"/>
  <c r="V100" i="46"/>
  <c r="V126" i="46"/>
  <c r="V111" i="46"/>
  <c r="V80" i="46"/>
  <c r="V127" i="46"/>
  <c r="V108" i="46"/>
  <c r="V125" i="46"/>
  <c r="V65" i="46"/>
  <c r="V64" i="46"/>
  <c r="V133" i="46"/>
  <c r="V130" i="46"/>
  <c r="V77" i="46"/>
  <c r="V121" i="46"/>
  <c r="V91" i="46"/>
  <c r="V71" i="46"/>
  <c r="V74" i="46"/>
  <c r="V95" i="46"/>
  <c r="V129" i="46"/>
  <c r="V110" i="46"/>
  <c r="V72" i="46"/>
  <c r="V103" i="46"/>
  <c r="V78" i="46"/>
  <c r="V93" i="46"/>
  <c r="V73" i="46"/>
  <c r="V104" i="46"/>
  <c r="V63" i="46"/>
  <c r="V115" i="46"/>
  <c r="V112" i="46"/>
  <c r="V132" i="46"/>
  <c r="V83" i="46"/>
  <c r="V113" i="46"/>
  <c r="V79" i="46"/>
  <c r="F69" i="16" l="1"/>
  <c r="F72" i="16" s="1"/>
  <c r="T19" i="46"/>
  <c r="V19" i="46" s="1"/>
  <c r="T17" i="46"/>
  <c r="U17" i="46"/>
  <c r="T18" i="46"/>
  <c r="V18" i="46" s="1"/>
  <c r="T16" i="46"/>
  <c r="V16" i="46" s="1"/>
  <c r="P36" i="46"/>
  <c r="P38" i="46"/>
  <c r="P116" i="46"/>
  <c r="P132" i="46"/>
  <c r="T11" i="46"/>
  <c r="V11" i="46" s="1"/>
  <c r="P39" i="46"/>
  <c r="P49" i="46"/>
  <c r="S49" i="46" s="1"/>
  <c r="P73" i="46"/>
  <c r="P32" i="46"/>
  <c r="P33" i="46"/>
  <c r="P79" i="46"/>
  <c r="P122" i="46"/>
  <c r="P124" i="46"/>
  <c r="P71" i="46"/>
  <c r="P83" i="46"/>
  <c r="P128" i="46"/>
  <c r="P34" i="46"/>
  <c r="P110" i="46"/>
  <c r="T12" i="46"/>
  <c r="V12" i="46" s="1"/>
  <c r="P87" i="46"/>
  <c r="P70" i="46"/>
  <c r="P100" i="46"/>
  <c r="P53" i="46"/>
  <c r="S53" i="46" s="1"/>
  <c r="P54" i="46"/>
  <c r="S54" i="46" s="1"/>
  <c r="P57" i="46"/>
  <c r="S57" i="46" s="1"/>
  <c r="P127" i="46"/>
  <c r="P114" i="46"/>
  <c r="P41" i="46"/>
  <c r="P90" i="46"/>
  <c r="P131" i="46"/>
  <c r="P125" i="46"/>
  <c r="P46" i="46"/>
  <c r="S46" i="46" s="1"/>
  <c r="P69" i="46"/>
  <c r="P45" i="46"/>
  <c r="P75" i="46"/>
  <c r="P117" i="46"/>
  <c r="P118" i="46"/>
  <c r="P105" i="46"/>
  <c r="P37" i="46"/>
  <c r="P62" i="46"/>
  <c r="P133" i="46"/>
  <c r="P42" i="46"/>
  <c r="P44" i="46"/>
  <c r="P68" i="46"/>
  <c r="P94" i="46"/>
  <c r="P112" i="46"/>
  <c r="P88" i="46"/>
  <c r="P91" i="46"/>
  <c r="P129" i="46"/>
  <c r="P56" i="46"/>
  <c r="S56" i="46" s="1"/>
  <c r="P63" i="46"/>
  <c r="P101" i="46"/>
  <c r="P102" i="46"/>
  <c r="P55" i="46"/>
  <c r="S55" i="46" s="1"/>
  <c r="P67" i="46"/>
  <c r="P106" i="46"/>
  <c r="P108" i="46"/>
  <c r="P103" i="46"/>
  <c r="P50" i="46"/>
  <c r="S50" i="46" s="1"/>
  <c r="P92" i="46"/>
  <c r="P130" i="46"/>
  <c r="P43" i="46"/>
  <c r="P107" i="46"/>
  <c r="P74" i="46"/>
  <c r="P61" i="46"/>
  <c r="P76" i="46"/>
  <c r="P98" i="46"/>
  <c r="P121" i="46"/>
  <c r="P95" i="46"/>
  <c r="P58" i="46"/>
  <c r="S58" i="46" s="1"/>
  <c r="P134" i="46"/>
  <c r="P60" i="46"/>
  <c r="P66" i="46"/>
  <c r="P35" i="46"/>
  <c r="P119" i="46"/>
  <c r="P93" i="46"/>
  <c r="P99" i="46"/>
  <c r="P64" i="46"/>
  <c r="P40" i="46"/>
  <c r="P65" i="46"/>
  <c r="P77" i="46"/>
  <c r="P78" i="46"/>
  <c r="P89" i="46"/>
  <c r="T7" i="46"/>
  <c r="T15" i="46"/>
  <c r="V15" i="46" s="1"/>
  <c r="P135" i="46"/>
  <c r="P31" i="46"/>
  <c r="P113" i="46"/>
  <c r="P52" i="46"/>
  <c r="S52" i="46" s="1"/>
  <c r="P59" i="46"/>
  <c r="P123" i="46"/>
  <c r="P96" i="46"/>
  <c r="P104" i="46"/>
  <c r="P97" i="46"/>
  <c r="P47" i="46"/>
  <c r="S47" i="46" s="1"/>
  <c r="P111" i="46"/>
  <c r="P80" i="46"/>
  <c r="P72" i="46"/>
  <c r="P81" i="46"/>
  <c r="P109" i="46"/>
  <c r="P84" i="46"/>
  <c r="P48" i="46"/>
  <c r="S48" i="46" s="1"/>
  <c r="P51" i="46"/>
  <c r="S51" i="46" s="1"/>
  <c r="P115" i="46"/>
  <c r="P85" i="46"/>
  <c r="P82" i="46"/>
  <c r="P86" i="46"/>
  <c r="P120" i="46"/>
  <c r="P126" i="46"/>
  <c r="T8" i="46"/>
  <c r="V8" i="46" s="1"/>
  <c r="T10" i="46"/>
  <c r="T14" i="46"/>
  <c r="T9" i="46"/>
  <c r="T13" i="46"/>
  <c r="V17" i="46" l="1"/>
  <c r="T50" i="46"/>
  <c r="U50" i="46"/>
  <c r="T49" i="46"/>
  <c r="U49" i="46"/>
  <c r="T56" i="46"/>
  <c r="U56" i="46"/>
  <c r="T52" i="46"/>
  <c r="U52" i="46"/>
  <c r="T57" i="46"/>
  <c r="U57" i="46"/>
  <c r="T51" i="46"/>
  <c r="U51" i="46"/>
  <c r="T47" i="46"/>
  <c r="U47" i="46"/>
  <c r="T53" i="46"/>
  <c r="U53" i="46"/>
  <c r="T48" i="46"/>
  <c r="U48" i="46"/>
  <c r="U58" i="46"/>
  <c r="T58" i="46"/>
  <c r="T55" i="46"/>
  <c r="U55" i="46"/>
  <c r="T46" i="46"/>
  <c r="U46" i="46"/>
  <c r="T54" i="46"/>
  <c r="U54" i="46"/>
  <c r="S41" i="46"/>
  <c r="S40" i="46"/>
  <c r="U40" i="46" s="1"/>
  <c r="S37" i="46"/>
  <c r="S35" i="46"/>
  <c r="U35" i="46" s="1"/>
  <c r="S43" i="46"/>
  <c r="U43" i="46" s="1"/>
  <c r="S42" i="46"/>
  <c r="U42" i="46" s="1"/>
  <c r="S45" i="46"/>
  <c r="U45" i="46" s="1"/>
  <c r="S33" i="46"/>
  <c r="S39" i="46"/>
  <c r="S38" i="46"/>
  <c r="U38" i="46" s="1"/>
  <c r="S31" i="46"/>
  <c r="S44" i="46"/>
  <c r="U44" i="46" s="1"/>
  <c r="S34" i="46"/>
  <c r="U34" i="46" s="1"/>
  <c r="S32" i="46"/>
  <c r="U32" i="46" s="1"/>
  <c r="S36" i="46"/>
  <c r="U36" i="46" s="1"/>
  <c r="V7" i="46"/>
  <c r="V13" i="46"/>
  <c r="V10" i="46"/>
  <c r="V14" i="46"/>
  <c r="V9" i="46"/>
  <c r="U5" i="46"/>
  <c r="T39" i="46" l="1"/>
  <c r="U39" i="46"/>
  <c r="T41" i="46"/>
  <c r="U41" i="46"/>
  <c r="T33" i="46"/>
  <c r="U33" i="46"/>
  <c r="T31" i="46"/>
  <c r="U31" i="46"/>
  <c r="T37" i="46"/>
  <c r="U37" i="46"/>
  <c r="V37" i="46" s="1"/>
  <c r="T36" i="46"/>
  <c r="V36" i="46" s="1"/>
  <c r="T43" i="46"/>
  <c r="T40" i="46"/>
  <c r="T32" i="46"/>
  <c r="T35" i="46"/>
  <c r="T44" i="46"/>
  <c r="V44" i="46" s="1"/>
  <c r="T42" i="46"/>
  <c r="V42" i="46" s="1"/>
  <c r="T34" i="46"/>
  <c r="V34" i="46" s="1"/>
  <c r="T38" i="46"/>
  <c r="V38" i="46" s="1"/>
  <c r="T45" i="46"/>
  <c r="V45" i="46" s="1"/>
  <c r="V61" i="46"/>
  <c r="V60" i="46"/>
  <c r="V59" i="46"/>
  <c r="V58" i="46"/>
  <c r="V57" i="46"/>
  <c r="V56" i="46"/>
  <c r="V55" i="46"/>
  <c r="V54" i="46"/>
  <c r="V53" i="46"/>
  <c r="V52" i="46"/>
  <c r="V51" i="46"/>
  <c r="V50" i="46"/>
  <c r="V49" i="46"/>
  <c r="V46" i="46"/>
  <c r="V48" i="46"/>
  <c r="V47" i="46"/>
  <c r="V5" i="46"/>
  <c r="V33" i="46" l="1"/>
  <c r="V39" i="46"/>
  <c r="V41" i="46"/>
  <c r="U29" i="46"/>
  <c r="V31" i="46"/>
  <c r="V32" i="46"/>
  <c r="V43" i="46"/>
  <c r="V35" i="46"/>
  <c r="V40" i="46"/>
  <c r="V29" i="46" l="1"/>
  <c r="C13" i="13"/>
  <c r="C12" i="13"/>
</calcChain>
</file>

<file path=xl/sharedStrings.xml><?xml version="1.0" encoding="utf-8"?>
<sst xmlns="http://schemas.openxmlformats.org/spreadsheetml/2006/main" count="3185" uniqueCount="389">
  <si>
    <t>Notes</t>
  </si>
  <si>
    <t>This workbook has two key data inputs, materials and labour/equipment. Materials are manually entered into the appropriate sheets</t>
  </si>
  <si>
    <t>and labour/equipment is entered by selecting items from drop down lists which link to a pre-existing database, "Database Lab+Equip".</t>
  </si>
  <si>
    <t>The "Summary" page provides an overview of the project costs, is formula generated and no user input should be required.</t>
  </si>
  <si>
    <t>The "Budget-Material" page requires complete manual input due to the unique nature of materials used on projects.</t>
  </si>
  <si>
    <t>The "Budget-Labour Equipment" page is formula-generated and no user input should be required.</t>
  </si>
  <si>
    <t>The pages for "Mobilisation" and "Installation" are operated by selecting items from drop-down lists which link to a database page.</t>
  </si>
  <si>
    <t>5. a</t>
  </si>
  <si>
    <t>The drop down lists are not exhaustive, so if there are items which you need, but don't appear on the lists then they should be added</t>
  </si>
  <si>
    <t xml:space="preserve">to the bottom of the list on page "Database Lab+Equip". Entering information in the database, rather than within the Installation pages
</t>
  </si>
  <si>
    <t>means that the items will a) be picked up in the budget-Labour Equipment calculations and b) make it easier to make multiple entries</t>
  </si>
  <si>
    <t>by not having to retype subsequent whole names or descriptions.</t>
  </si>
  <si>
    <t>Familiarisation with the codes for labour and equipment will greatly assist in operating this workbook.</t>
  </si>
  <si>
    <t>The "Materials" pages are complete manual input.</t>
  </si>
  <si>
    <t>The "Pipe capacity" page is manual input and is used to estimate the number of trailers required for freight transport.</t>
  </si>
  <si>
    <t>The "Database Lab+Equipment" page contains cost and sell price for various labour and equipment used across the project. To add to this</t>
  </si>
  <si>
    <t>database see note 5.a.</t>
  </si>
  <si>
    <t>Mob/Demob</t>
  </si>
  <si>
    <t>Installation Cost</t>
  </si>
  <si>
    <t>Installation Sell</t>
  </si>
  <si>
    <t>Addit. Items Cost</t>
  </si>
  <si>
    <t>Addit. Items Sell</t>
  </si>
  <si>
    <t>Total Cost</t>
  </si>
  <si>
    <t>Total Sell</t>
  </si>
  <si>
    <t>Days</t>
  </si>
  <si>
    <t>Personnel</t>
  </si>
  <si>
    <t>Man Days</t>
  </si>
  <si>
    <t>Prelims</t>
  </si>
  <si>
    <t>Management, Supervision &amp; On-going Operational Costs</t>
  </si>
  <si>
    <t>Installation 1</t>
  </si>
  <si>
    <t>Materials Cost</t>
  </si>
  <si>
    <t>Materials Sell</t>
  </si>
  <si>
    <t>Total</t>
  </si>
  <si>
    <t>Subcontract</t>
  </si>
  <si>
    <t>Optional</t>
  </si>
  <si>
    <t>Total Supply &amp; Installation</t>
  </si>
  <si>
    <t>Materials</t>
  </si>
  <si>
    <t>Installation</t>
  </si>
  <si>
    <t>Addit. Items</t>
  </si>
  <si>
    <t>Project Cost</t>
  </si>
  <si>
    <t>Check</t>
  </si>
  <si>
    <t>Project Sell</t>
  </si>
  <si>
    <t>Project Profit</t>
  </si>
  <si>
    <t>Project Margin</t>
  </si>
  <si>
    <t>Total Days</t>
  </si>
  <si>
    <t>Material Take-off</t>
  </si>
  <si>
    <t>Material Description</t>
  </si>
  <si>
    <t>Qty</t>
  </si>
  <si>
    <t>Units</t>
  </si>
  <si>
    <t>Length (individual)</t>
  </si>
  <si>
    <t>Qty of Lengths (If Required)</t>
  </si>
  <si>
    <t>Cost (ea)</t>
  </si>
  <si>
    <t>Total ($)</t>
  </si>
  <si>
    <t>Pipeline 01</t>
  </si>
  <si>
    <t>Pipe</t>
  </si>
  <si>
    <t>m</t>
  </si>
  <si>
    <t>Stub Flange</t>
  </si>
  <si>
    <t>ea</t>
  </si>
  <si>
    <t>Backing Ring</t>
  </si>
  <si>
    <t>Pipeline 02</t>
  </si>
  <si>
    <t>Reducing Tee</t>
  </si>
  <si>
    <t>Butterfly Valve</t>
  </si>
  <si>
    <t>Reducer</t>
  </si>
  <si>
    <t>Equal Tee</t>
  </si>
  <si>
    <t>Sweep Bend</t>
  </si>
  <si>
    <t>Pipeline 03</t>
  </si>
  <si>
    <t>Table - Sum If</t>
  </si>
  <si>
    <t>→</t>
  </si>
  <si>
    <t>Table - Hours Sort, Descending</t>
  </si>
  <si>
    <t>Labour and Equipment Budget</t>
  </si>
  <si>
    <t>Labour</t>
  </si>
  <si>
    <t>Sell Price/hr</t>
  </si>
  <si>
    <t>Sell + Contingency Total</t>
  </si>
  <si>
    <t>Hours</t>
  </si>
  <si>
    <t>Hours2</t>
  </si>
  <si>
    <t>Rank</t>
  </si>
  <si>
    <t>Scratch Posn</t>
  </si>
  <si>
    <t>Row</t>
  </si>
  <si>
    <t>Rank Total Cost</t>
  </si>
  <si>
    <t>Total Labour Sum</t>
  </si>
  <si>
    <t>Equipment</t>
  </si>
  <si>
    <t>Sell Price/day</t>
  </si>
  <si>
    <t>Days2</t>
  </si>
  <si>
    <t>Sell Price/Day</t>
  </si>
  <si>
    <t>Mobilisation</t>
  </si>
  <si>
    <t>Mark Ups</t>
  </si>
  <si>
    <t>Distance (km)</t>
  </si>
  <si>
    <t>OD (mm)</t>
  </si>
  <si>
    <t>All mark ups for labour and equipment are</t>
  </si>
  <si>
    <t>PN Rating</t>
  </si>
  <si>
    <t>contained in the database tab of this</t>
  </si>
  <si>
    <t>Pipe Length</t>
  </si>
  <si>
    <t>workbook.</t>
  </si>
  <si>
    <t>Dist. Achieved</t>
  </si>
  <si>
    <t>Risk Contingency</t>
  </si>
  <si>
    <t>Productive Days/Day</t>
  </si>
  <si>
    <t>Resource Code</t>
  </si>
  <si>
    <t>Utilisation (Hours/day)</t>
  </si>
  <si>
    <t>Cost Rate</t>
  </si>
  <si>
    <t xml:space="preserve">Sell Rate </t>
  </si>
  <si>
    <t>Sell + Contingency</t>
  </si>
  <si>
    <t>Margin%</t>
  </si>
  <si>
    <t>lb sp</t>
  </si>
  <si>
    <t>lb pw</t>
  </si>
  <si>
    <t>Polywelder</t>
  </si>
  <si>
    <t>lb op</t>
  </si>
  <si>
    <t>lb ta</t>
  </si>
  <si>
    <t>lb in</t>
  </si>
  <si>
    <t>Cost</t>
  </si>
  <si>
    <t>Sell</t>
  </si>
  <si>
    <t>Utilisation (% Days ea.)</t>
  </si>
  <si>
    <t>pl lv ute d/cab</t>
  </si>
  <si>
    <t>pl trailer fuel 2000l</t>
  </si>
  <si>
    <t>pl genset 15kVa</t>
  </si>
  <si>
    <t>pl lv km rate</t>
  </si>
  <si>
    <t>pl pwt900</t>
  </si>
  <si>
    <t>pl Tooling</t>
  </si>
  <si>
    <t>pl chainsaw</t>
  </si>
  <si>
    <t>pl genset 6kVa</t>
  </si>
  <si>
    <t>pl pw350</t>
  </si>
  <si>
    <t>pl IT loader</t>
  </si>
  <si>
    <t>pl ex 35t</t>
  </si>
  <si>
    <t>pl Pipe Donkey</t>
  </si>
  <si>
    <t>pl plate compactor</t>
  </si>
  <si>
    <t>Additional Considerations</t>
  </si>
  <si>
    <t>Each</t>
  </si>
  <si>
    <t>PEM+DAS</t>
  </si>
  <si>
    <t>Royal Wolfe Fee</t>
  </si>
  <si>
    <t>MDR</t>
  </si>
  <si>
    <t>NPC</t>
  </si>
  <si>
    <t xml:space="preserve">Drive in Drive out </t>
  </si>
  <si>
    <t>Demobilisation</t>
  </si>
  <si>
    <t>pl water trailer</t>
  </si>
  <si>
    <t xml:space="preserve">Site Clean up </t>
  </si>
  <si>
    <t>Over Heads</t>
  </si>
  <si>
    <t>Distance (m)</t>
  </si>
  <si>
    <t>lb ad</t>
  </si>
  <si>
    <t>lb pm</t>
  </si>
  <si>
    <t>pl Site Hub</t>
  </si>
  <si>
    <t>Signage &amp; Baricading</t>
  </si>
  <si>
    <t>Consumables</t>
  </si>
  <si>
    <t>Tie In Welds</t>
  </si>
  <si>
    <t>Welds</t>
  </si>
  <si>
    <t>Welds / Hour</t>
  </si>
  <si>
    <t>Productive hr/day</t>
  </si>
  <si>
    <t>Labour Code</t>
  </si>
  <si>
    <t>4,600m of 560 PN8 PE100 SDR21</t>
  </si>
  <si>
    <t>pn8</t>
  </si>
  <si>
    <t>16,100m of 560 PN6.3 PE100 SDR26.</t>
  </si>
  <si>
    <t>PN6.3</t>
  </si>
  <si>
    <t>750m 0f 355 PN8 PE100 SDR17.</t>
  </si>
  <si>
    <t>PN8</t>
  </si>
  <si>
    <t/>
  </si>
  <si>
    <t xml:space="preserve">Make Head works </t>
  </si>
  <si>
    <t xml:space="preserve">Flow meter cables </t>
  </si>
  <si>
    <t>ARV Tie In's 560</t>
  </si>
  <si>
    <t>3 tie ins per day</t>
  </si>
  <si>
    <t>4 HOURS EACH</t>
  </si>
  <si>
    <t>Flush Water Tie In</t>
  </si>
  <si>
    <t xml:space="preserve">Earth Mounding </t>
  </si>
  <si>
    <t>pl tipper</t>
  </si>
  <si>
    <t>pl pw630</t>
  </si>
  <si>
    <t>Flow meters/Actuated Valve/Scour Drain Tee</t>
  </si>
  <si>
    <t>#14</t>
  </si>
  <si>
    <t>Installation 2</t>
  </si>
  <si>
    <t>Freight  Equipment</t>
  </si>
  <si>
    <t>Hydrostatic Testing</t>
  </si>
  <si>
    <t>Quantam Survey</t>
  </si>
  <si>
    <t>Freight of Pipe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</si>
  <si>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</si>
  <si>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</si>
  <si>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</si>
  <si>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</si>
  <si>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</si>
  <si>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</si>
  <si>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</si>
  <si>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</si>
  <si>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</si>
  <si>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Installation 3</t>
  </si>
  <si>
    <t>Optional Debeading</t>
  </si>
  <si>
    <t>#2</t>
  </si>
  <si>
    <t>#3</t>
  </si>
  <si>
    <t>#4</t>
  </si>
  <si>
    <t>Materials 1; Installation 1</t>
  </si>
  <si>
    <t>Material Type</t>
  </si>
  <si>
    <t>Item</t>
  </si>
  <si>
    <t>Unit</t>
  </si>
  <si>
    <t>Sell Rate</t>
  </si>
  <si>
    <t>Ancill.</t>
  </si>
  <si>
    <t>Oils/Grease/Spares for machines</t>
  </si>
  <si>
    <t>Fittings</t>
  </si>
  <si>
    <t>Mark Up 2</t>
  </si>
  <si>
    <t>Mark Up 3</t>
  </si>
  <si>
    <t>Cost Ea.</t>
  </si>
  <si>
    <t>Sell Ea.</t>
  </si>
  <si>
    <t>Contingency Risk</t>
  </si>
  <si>
    <t>Acetone</t>
  </si>
  <si>
    <t>Rags/Isowipes</t>
  </si>
  <si>
    <t>Rubbish bags</t>
  </si>
  <si>
    <t>Damos quote</t>
  </si>
  <si>
    <t>Dig Tape</t>
  </si>
  <si>
    <t>DN100 PVC Sewer</t>
  </si>
  <si>
    <t>nuts bolts washers m16 SS</t>
  </si>
  <si>
    <t>nuts bolts washers m30 SS</t>
  </si>
  <si>
    <t>Anti sieze</t>
  </si>
  <si>
    <t>Nylon Sleeves and fibre washers</t>
  </si>
  <si>
    <t>Breather Assemblies</t>
  </si>
  <si>
    <t>84 X M24X200 GALV NUT,BOLT AND WASHER SS</t>
  </si>
  <si>
    <t>Damos Q135109 Y</t>
  </si>
  <si>
    <t>misc</t>
  </si>
  <si>
    <t>Misc</t>
  </si>
  <si>
    <t>Reducing Fittings bolts</t>
  </si>
  <si>
    <t>Materials 3; Installation 3</t>
  </si>
  <si>
    <t>Materials 2; Installation 2</t>
  </si>
  <si>
    <t>West Coast Express Equipment</t>
  </si>
  <si>
    <t>Brooks Hire Transport Loaders</t>
  </si>
  <si>
    <t>Surveyour Day Rate</t>
  </si>
  <si>
    <t xml:space="preserve">Mobilisation </t>
  </si>
  <si>
    <t xml:space="preserve">Computations / Drafting  </t>
  </si>
  <si>
    <t>hrs</t>
  </si>
  <si>
    <t>Pipe Capacity</t>
  </si>
  <si>
    <t>Trucks</t>
  </si>
  <si>
    <t>Pipe Truck Capacity</t>
  </si>
  <si>
    <t>Pipe Weights</t>
  </si>
  <si>
    <t>Pipe OD</t>
  </si>
  <si>
    <t>No of Pipes</t>
  </si>
  <si>
    <t>OD Size</t>
  </si>
  <si>
    <t>PN10</t>
  </si>
  <si>
    <t>PN12.5</t>
  </si>
  <si>
    <t>PN16</t>
  </si>
  <si>
    <t>PN20</t>
  </si>
  <si>
    <t>lgths</t>
  </si>
  <si>
    <t>63 (100m)</t>
  </si>
  <si>
    <t>75 (100m)</t>
  </si>
  <si>
    <t>90 (100m)</t>
  </si>
  <si>
    <t>110 (100m)</t>
  </si>
  <si>
    <t>Contingency</t>
  </si>
  <si>
    <t>Code</t>
  </si>
  <si>
    <t>Description</t>
  </si>
  <si>
    <t>Administration</t>
  </si>
  <si>
    <t>Misc. Materials</t>
  </si>
  <si>
    <t>lb bo</t>
  </si>
  <si>
    <t>Boilermaker</t>
  </si>
  <si>
    <t>Self Contained office/crib/toilet</t>
  </si>
  <si>
    <t>1.4x mark up</t>
  </si>
  <si>
    <t>lb cl</t>
  </si>
  <si>
    <t>Crew Leader</t>
  </si>
  <si>
    <t>Stihl MS-390 Chainsaw</t>
  </si>
  <si>
    <t>lb cm</t>
  </si>
  <si>
    <t>Construction Manager</t>
  </si>
  <si>
    <t>pl fac office bldg 12mx3m</t>
  </si>
  <si>
    <t>Day hire for 12m x 3m office building w/ aircon, 8 chairs, 4 desks, 2 benches</t>
  </si>
  <si>
    <t>lb el</t>
  </si>
  <si>
    <t>Electrician</t>
  </si>
  <si>
    <t>pl fac toilet blck 6mx3m</t>
  </si>
  <si>
    <t>Day hire for 6m x 3m toilet block male/female w 4000l waste tank and steps</t>
  </si>
  <si>
    <t>lb fi</t>
  </si>
  <si>
    <t>Fitter - Heavy Diesel</t>
  </si>
  <si>
    <t>pl fac water tank</t>
  </si>
  <si>
    <t>Day Hire for 5000ltr water tank w Davey Pump to supply Potable water for Crib and Ablutions facilities</t>
  </si>
  <si>
    <t>lb hs</t>
  </si>
  <si>
    <t>HSE Advisor</t>
  </si>
  <si>
    <t>pl facilities toilet trai</t>
  </si>
  <si>
    <t>Trailer Mounted Toilet Hire</t>
  </si>
  <si>
    <t>Operator</t>
  </si>
  <si>
    <t>Shindawa 15kVa Diesel Genset/Welder</t>
  </si>
  <si>
    <t>lb pe</t>
  </si>
  <si>
    <t>Project Engineer</t>
  </si>
  <si>
    <t>pl genset 32kVa</t>
  </si>
  <si>
    <t>Kubota Genset 27kVa</t>
  </si>
  <si>
    <t>lb peg</t>
  </si>
  <si>
    <t>AIC Technician</t>
  </si>
  <si>
    <t>pl genset 50kVa</t>
  </si>
  <si>
    <t>Genset 50kVa</t>
  </si>
  <si>
    <t>lb pf</t>
  </si>
  <si>
    <t>Pipe Fitter</t>
  </si>
  <si>
    <t>Kubota Lowboy Genset 6kVa Silenced</t>
  </si>
  <si>
    <t>lb plumber</t>
  </si>
  <si>
    <t>Plumber</t>
  </si>
  <si>
    <t>pl genset 9kVa</t>
  </si>
  <si>
    <t>Kubota Lowboy Genset 9kVa Silenced</t>
  </si>
  <si>
    <t>Project Manager</t>
  </si>
  <si>
    <t>pl ground rollers</t>
  </si>
  <si>
    <t>Ground Rollers</t>
  </si>
  <si>
    <t>pl hole saw</t>
  </si>
  <si>
    <t>Day rate for hire of hole saw</t>
  </si>
  <si>
    <t>Supervisor</t>
  </si>
  <si>
    <t>pl hot air welder</t>
  </si>
  <si>
    <t>Triac Hot Air Welder c/w various welding and cutting tips</t>
  </si>
  <si>
    <t>lb st</t>
  </si>
  <si>
    <t>Superintendent</t>
  </si>
  <si>
    <t>Light Vehicle km Rate for Travel</t>
  </si>
  <si>
    <t>Trades Assistant</t>
  </si>
  <si>
    <t>Light 4WD Vehicle - D/Cab Ute</t>
  </si>
  <si>
    <t>lb lh</t>
  </si>
  <si>
    <t>Leading Hand</t>
  </si>
  <si>
    <t>pl lv ute landcruiser</t>
  </si>
  <si>
    <t xml:space="preserve">Light 4WD Vehicle - Landcruiser Ute </t>
  </si>
  <si>
    <t>lb no</t>
  </si>
  <si>
    <t>Nominee</t>
  </si>
  <si>
    <t>pl lv ute s/cab</t>
  </si>
  <si>
    <t xml:space="preserve">Light 4WD Vehicle - S/Cab Ute </t>
  </si>
  <si>
    <t>Inductions</t>
  </si>
  <si>
    <t>pl lv ute wagon</t>
  </si>
  <si>
    <t>Light 4WD Vehicle - Wagon</t>
  </si>
  <si>
    <t>pl mag drill</t>
  </si>
  <si>
    <t>Magnetic Drill &amp; Rotor broach bits</t>
  </si>
  <si>
    <t>pl mv bus 22 seat</t>
  </si>
  <si>
    <t>Medium Vehicle - Bus 22 Seater Coaster</t>
  </si>
  <si>
    <t>pl mv canter d/cab</t>
  </si>
  <si>
    <t xml:space="preserve">Medium 4WD Truck - D/Cab Canter </t>
  </si>
  <si>
    <t>pl picket driver</t>
  </si>
  <si>
    <t>Star Picket Driver</t>
  </si>
  <si>
    <t>pl pipe dolly</t>
  </si>
  <si>
    <t>Pipe Dolly's x 2</t>
  </si>
  <si>
    <t>pl pipe threader</t>
  </si>
  <si>
    <t>Pipe Threader - Rigid Compact 300</t>
  </si>
  <si>
    <t>pl poly porter</t>
  </si>
  <si>
    <t>Poly Porter</t>
  </si>
  <si>
    <t>pl polyhorse mega</t>
  </si>
  <si>
    <t>Mega Poly Horse C/W Genset</t>
  </si>
  <si>
    <t>pl polyhorse std</t>
  </si>
  <si>
    <t>Poly Horse C/W Power Assist</t>
  </si>
  <si>
    <t>pl pump 3" trash</t>
  </si>
  <si>
    <t>3" Trash Pump</t>
  </si>
  <si>
    <t>pl pump 4" trash</t>
  </si>
  <si>
    <t>4" Trash Pump</t>
  </si>
  <si>
    <t>pl pump pressure test</t>
  </si>
  <si>
    <t>Pressure Testing Pump - 2200kPa</t>
  </si>
  <si>
    <t>pl pw datalogger</t>
  </si>
  <si>
    <t>Data Logger</t>
  </si>
  <si>
    <t>pl pw socket</t>
  </si>
  <si>
    <t>Socket Welder c/w dies</t>
  </si>
  <si>
    <t>pl pw110</t>
  </si>
  <si>
    <t>LF110 Polywelding Machine c/w dies</t>
  </si>
  <si>
    <t>pl pw225</t>
  </si>
  <si>
    <t>HF225 Polywelding Machine c/w dies</t>
  </si>
  <si>
    <t>HF350 Polywelding Machine c/w dies</t>
  </si>
  <si>
    <t>pl pw350 Delta</t>
  </si>
  <si>
    <t>Ritmo Delta 350 Polywelding Machine c/w dies</t>
  </si>
  <si>
    <t>pl pw500</t>
  </si>
  <si>
    <t>Ritmo Delta 500 Polywelder c/w dies</t>
  </si>
  <si>
    <t>HF630 Polywelding Machine c/w dies</t>
  </si>
  <si>
    <t>pl pw630 Delta</t>
  </si>
  <si>
    <t>Ritmo Delta 630 Polywelding Machine c/w dies / SHD Machine</t>
  </si>
  <si>
    <t>pl pwt500</t>
  </si>
  <si>
    <t>TracStar 500 Polywelding Machine c/w dies</t>
  </si>
  <si>
    <t>pl pwt618</t>
  </si>
  <si>
    <t>TracStar 618 Polywelding Machine c/w dies</t>
  </si>
  <si>
    <t>TracStar 900 Polywelding Machine c/w dies</t>
  </si>
  <si>
    <t>pl tp 1435</t>
  </si>
  <si>
    <t>Teleporter 3t c/w Forks and Bucket</t>
  </si>
  <si>
    <t>pl tp 732</t>
  </si>
  <si>
    <t>Teleporter 4t c/w Forks and Bucket</t>
  </si>
  <si>
    <t>pl tp 932</t>
  </si>
  <si>
    <t>Teleporter 6t c/w Forks and Bucket</t>
  </si>
  <si>
    <t>pl trailer 10x6 tandem</t>
  </si>
  <si>
    <t>Trailer 10x6 Tandem Axle 2000Kg</t>
  </si>
  <si>
    <t>Trailer Fuel 2,000L Tandem Axle</t>
  </si>
  <si>
    <t>pl trailer pipe uncoiling</t>
  </si>
  <si>
    <t>Tandem Axle Pipe Uncoiling Trailer</t>
  </si>
  <si>
    <t>pl wedge</t>
  </si>
  <si>
    <t>Leister Astro Wedge Welder</t>
  </si>
  <si>
    <t>pl welder caddy</t>
  </si>
  <si>
    <t>Caddy Welder</t>
  </si>
  <si>
    <t>sea container 10</t>
  </si>
  <si>
    <t>Sea Container 10 ft - Store Container</t>
  </si>
  <si>
    <t>sea container 20</t>
  </si>
  <si>
    <t>Sea Container 20 ft</t>
  </si>
  <si>
    <t>Hand tools</t>
  </si>
  <si>
    <t>WA320</t>
  </si>
  <si>
    <t xml:space="preserve">35t Excavator </t>
  </si>
  <si>
    <t>water trailer for compaction</t>
  </si>
  <si>
    <t>6x4 tip truck</t>
  </si>
  <si>
    <t>plate compactor</t>
  </si>
  <si>
    <t xml:space="preserve">pipe donkey </t>
  </si>
  <si>
    <t>Road Crossings x 10</t>
  </si>
  <si>
    <t>3,200m of 560 PN10 PE100 SDR21</t>
  </si>
  <si>
    <t>Supply &amp; Install 3x Standpipe</t>
  </si>
  <si>
    <t>3000m of 560 PN8 PE100 SDR21</t>
  </si>
  <si>
    <t xml:space="preserve">Option 1 316SS sch 40 standpipe pipe work </t>
  </si>
  <si>
    <t>pl crane truck</t>
  </si>
  <si>
    <t>Crane truck 4t</t>
  </si>
  <si>
    <t>14,800m of 560 PN6.3 PE100 SDR26.</t>
  </si>
  <si>
    <t>Breather Assemblies tee and air valve</t>
  </si>
  <si>
    <t>Freight of Pipe 99 trailers Perth</t>
  </si>
  <si>
    <t>Unloading of Pipe 99 trucks</t>
  </si>
  <si>
    <t>Supply of Pipe Ex China</t>
  </si>
  <si>
    <t>Legal costs start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</si>
</sst>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&quot;$&quot;#,##0.00"/>
    <numFmt numFmtId="166" formatCode="&quot;$&quot;#,##0.00\ &quot;(Section Labour Profit)&quot;"/>
    <numFmt numFmtId="167" formatCode="&quot;$&quot;#,##0.00\ &quot;(Section Material Profit)&quot;"/>
    <numFmt numFmtId="168" formatCode="&quot;$&quot;#,##0.00\ &quot;(Section Equip. Profit)&quot;"/>
    <numFmt numFmtId="169" formatCode="&quot;$&quot;#,##0.00\ &quot;(Section Profit)&quot;"/>
    <numFmt numFmtId="170" formatCode="&quot;$&quot;#,##0.00\ &quot;(Mobilisation Profit)&quot;"/>
    <numFmt numFmtId="171" formatCode="&quot;$&quot;#,##0.00\ &quot;(Mob. Labour Profit)&quot;"/>
    <numFmt numFmtId="172" formatCode="&quot;$&quot;#,##0.00\ &quot;(Mob. Equip. Profit)&quot;"/>
    <numFmt numFmtId="173" formatCode="&quot;$&quot;#,##0.00\ &quot;(Mob. Addit. Profit)&quot;"/>
    <numFmt numFmtId="174" formatCode="&quot;$&quot;#,##0.00\ &quot;(Mob. Profit)&quot;"/>
    <numFmt numFmtId="175" formatCode="&quot;$&quot;#,##0.00\ &quot;(Demob. Labour Profit)&quot;"/>
    <numFmt numFmtId="176" formatCode="&quot;$&quot;#,##0.00\ &quot;(Demob. Equip. Profit)&quot;"/>
    <numFmt numFmtId="177" formatCode="&quot;$&quot;#,##0.00\ &quot;(Demob. Addit. Profit)&quot;"/>
    <numFmt numFmtId="178" formatCode="&quot;$&quot;#,##0.00\ &quot;(Demob. Profit)&quot;"/>
    <numFmt numFmtId="179" formatCode="&quot;$&quot;#,##0.00\ &quot;(Overhead Labour Profit)&quot;"/>
    <numFmt numFmtId="180" formatCode="&quot;$&quot;#,##0.00\ &quot;(Overhead Equip. Profit)&quot;"/>
    <numFmt numFmtId="181" formatCode="&quot;$&quot;#,##0.00\ &quot;(Overhead Addit. Profit)&quot;"/>
    <numFmt numFmtId="182" formatCode="&quot;$&quot;#,##0.00\ &quot;(Overhead Profit)&quot;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F02BE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006100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sz val="12"/>
      <name val="Calibri"/>
      <family val="2"/>
    </font>
    <font>
      <b/>
      <u/>
      <sz val="12"/>
      <name val="Calibri"/>
      <family val="2"/>
      <scheme val="minor"/>
    </font>
    <font>
      <sz val="10"/>
      <color rgb="FF1E2463"/>
      <name val="Arial"/>
      <family val="2"/>
    </font>
    <font>
      <i/>
      <sz val="10"/>
      <color theme="0" tint="-0.499984740745262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Arial"/>
      <family val="2"/>
    </font>
    <font>
      <b/>
      <sz val="10"/>
      <name val="Arial"/>
    </font>
    <font>
      <sz val="11"/>
      <color rgb="FF242424"/>
      <name val="Aptos Narrow"/>
      <charset val="1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medium">
        <color rgb="FFA7A8A7"/>
      </left>
      <right style="medium">
        <color rgb="FFA7A8A7"/>
      </right>
      <top style="medium">
        <color rgb="FFA7A8A7"/>
      </top>
      <bottom style="medium">
        <color rgb="FFA7A8A7"/>
      </bottom>
      <diagonal/>
    </border>
    <border>
      <left style="medium">
        <color rgb="FFA7A8A7"/>
      </left>
      <right style="medium">
        <color rgb="FFA7A8A7"/>
      </right>
      <top/>
      <bottom style="medium">
        <color rgb="FFA7A8A7"/>
      </bottom>
      <diagonal/>
    </border>
  </borders>
  <cellStyleXfs count="42">
    <xf numFmtId="0" fontId="0" fillId="0" borderId="0"/>
    <xf numFmtId="44" fontId="7" fillId="0" borderId="0" applyFont="0" applyFill="0" applyBorder="0" applyAlignment="0" applyProtection="0"/>
    <xf numFmtId="0" fontId="15" fillId="2" borderId="0" applyNumberFormat="0" applyBorder="0" applyAlignment="0" applyProtection="0"/>
    <xf numFmtId="4" fontId="14" fillId="0" borderId="0">
      <alignment horizontal="center" vertical="top"/>
    </xf>
    <xf numFmtId="0" fontId="9" fillId="0" borderId="0"/>
    <xf numFmtId="44" fontId="9" fillId="0" borderId="0" applyFont="0" applyFill="0" applyBorder="0" applyAlignment="0" applyProtection="0"/>
    <xf numFmtId="0" fontId="6" fillId="0" borderId="0"/>
    <xf numFmtId="0" fontId="5" fillId="0" borderId="0"/>
    <xf numFmtId="9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/>
    <xf numFmtId="165" fontId="12" fillId="0" borderId="0" xfId="0" applyNumberFormat="1" applyFont="1"/>
    <xf numFmtId="4" fontId="11" fillId="0" borderId="0" xfId="3" applyFont="1" applyAlignment="1">
      <alignment horizontal="center"/>
    </xf>
    <xf numFmtId="164" fontId="11" fillId="0" borderId="0" xfId="3" applyNumberFormat="1" applyFont="1" applyAlignment="1">
      <alignment horizontal="center"/>
    </xf>
    <xf numFmtId="165" fontId="11" fillId="0" borderId="0" xfId="3" applyNumberFormat="1" applyFont="1" applyAlignment="1">
      <alignment horizontal="center"/>
    </xf>
    <xf numFmtId="4" fontId="10" fillId="0" borderId="0" xfId="3" applyFont="1" applyAlignment="1">
      <alignment horizontal="center"/>
    </xf>
    <xf numFmtId="4" fontId="10" fillId="0" borderId="0" xfId="3" applyFont="1">
      <alignment horizontal="center" vertical="top"/>
    </xf>
    <xf numFmtId="164" fontId="10" fillId="0" borderId="0" xfId="3" applyNumberFormat="1" applyFont="1" applyAlignment="1">
      <alignment horizontal="center"/>
    </xf>
    <xf numFmtId="165" fontId="10" fillId="0" borderId="0" xfId="3" applyNumberFormat="1" applyFont="1">
      <alignment horizontal="center" vertical="top"/>
    </xf>
    <xf numFmtId="4" fontId="10" fillId="0" borderId="1" xfId="3" applyFont="1" applyBorder="1" applyAlignment="1">
      <alignment horizontal="center"/>
    </xf>
    <xf numFmtId="164" fontId="10" fillId="0" borderId="0" xfId="3" applyNumberFormat="1" applyFont="1">
      <alignment horizontal="center" vertical="top"/>
    </xf>
    <xf numFmtId="164" fontId="10" fillId="0" borderId="0" xfId="3" applyNumberFormat="1" applyFont="1" applyAlignment="1">
      <alignment horizontal="right"/>
    </xf>
    <xf numFmtId="164" fontId="10" fillId="0" borderId="1" xfId="3" applyNumberFormat="1" applyFont="1" applyBorder="1" applyAlignment="1">
      <alignment horizontal="center"/>
    </xf>
    <xf numFmtId="0" fontId="8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Alignment="1">
      <alignment wrapText="1"/>
    </xf>
    <xf numFmtId="0" fontId="17" fillId="0" borderId="0" xfId="7" applyFont="1"/>
    <xf numFmtId="164" fontId="17" fillId="0" borderId="0" xfId="7" applyNumberFormat="1" applyFont="1"/>
    <xf numFmtId="165" fontId="17" fillId="0" borderId="0" xfId="7" applyNumberFormat="1" applyFont="1"/>
    <xf numFmtId="0" fontId="20" fillId="0" borderId="0" xfId="7" applyFont="1" applyAlignment="1">
      <alignment horizontal="right"/>
    </xf>
    <xf numFmtId="165" fontId="11" fillId="0" borderId="0" xfId="7" applyNumberFormat="1" applyFont="1"/>
    <xf numFmtId="164" fontId="10" fillId="3" borderId="3" xfId="7" applyNumberFormat="1" applyFont="1" applyFill="1" applyBorder="1" applyAlignment="1">
      <alignment horizontal="center" wrapText="1"/>
    </xf>
    <xf numFmtId="0" fontId="10" fillId="3" borderId="3" xfId="7" applyFont="1" applyFill="1" applyBorder="1" applyAlignment="1">
      <alignment horizontal="right"/>
    </xf>
    <xf numFmtId="0" fontId="11" fillId="0" borderId="3" xfId="7" applyFont="1" applyBorder="1" applyAlignment="1">
      <alignment horizontal="left" wrapText="1"/>
    </xf>
    <xf numFmtId="0" fontId="10" fillId="3" borderId="3" xfId="7" applyFont="1" applyFill="1" applyBorder="1" applyAlignment="1">
      <alignment horizontal="center"/>
    </xf>
    <xf numFmtId="0" fontId="11" fillId="0" borderId="0" xfId="7" applyFont="1"/>
    <xf numFmtId="3" fontId="10" fillId="0" borderId="3" xfId="7" applyNumberFormat="1" applyFont="1" applyBorder="1" applyAlignment="1">
      <alignment horizontal="center"/>
    </xf>
    <xf numFmtId="0" fontId="11" fillId="0" borderId="0" xfId="7" applyFont="1" applyAlignment="1">
      <alignment horizontal="left"/>
    </xf>
    <xf numFmtId="0" fontId="11" fillId="0" borderId="0" xfId="7" applyFont="1" applyAlignment="1">
      <alignment horizontal="center"/>
    </xf>
    <xf numFmtId="16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5" fontId="23" fillId="0" borderId="0" xfId="7" applyNumberFormat="1" applyFont="1"/>
    <xf numFmtId="0" fontId="7" fillId="0" borderId="0" xfId="0" applyFont="1"/>
    <xf numFmtId="44" fontId="10" fillId="0" borderId="0" xfId="1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164" fontId="13" fillId="0" borderId="0" xfId="0" applyNumberFormat="1" applyFont="1"/>
    <xf numFmtId="44" fontId="12" fillId="0" borderId="0" xfId="0" applyNumberFormat="1" applyFont="1"/>
    <xf numFmtId="0" fontId="13" fillId="0" borderId="0" xfId="0" applyFont="1" applyAlignment="1">
      <alignment horizontal="center"/>
    </xf>
    <xf numFmtId="0" fontId="22" fillId="0" borderId="2" xfId="7" applyFont="1" applyBorder="1" applyAlignment="1">
      <alignment horizontal="center" wrapText="1"/>
    </xf>
    <xf numFmtId="0" fontId="11" fillId="0" borderId="0" xfId="7" applyFont="1" applyAlignment="1">
      <alignment horizontal="left" wrapText="1"/>
    </xf>
    <xf numFmtId="44" fontId="17" fillId="0" borderId="0" xfId="7" applyNumberFormat="1" applyFont="1"/>
    <xf numFmtId="9" fontId="17" fillId="0" borderId="0" xfId="8" applyFont="1"/>
    <xf numFmtId="0" fontId="22" fillId="3" borderId="2" xfId="7" applyFont="1" applyFill="1" applyBorder="1" applyAlignment="1">
      <alignment horizontal="left" wrapText="1"/>
    </xf>
    <xf numFmtId="0" fontId="11" fillId="0" borderId="0" xfId="7" applyFont="1" applyAlignment="1">
      <alignment horizontal="left" vertical="center" wrapText="1"/>
    </xf>
    <xf numFmtId="0" fontId="11" fillId="0" borderId="0" xfId="7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8" fillId="0" borderId="0" xfId="7" applyFont="1" applyAlignment="1">
      <alignment horizontal="left" vertical="center" wrapText="1"/>
    </xf>
    <xf numFmtId="165" fontId="18" fillId="0" borderId="0" xfId="7" applyNumberFormat="1" applyFont="1"/>
    <xf numFmtId="0" fontId="18" fillId="0" borderId="2" xfId="7" applyFont="1" applyBorder="1" applyAlignment="1">
      <alignment horizontal="center"/>
    </xf>
    <xf numFmtId="9" fontId="18" fillId="0" borderId="2" xfId="8" applyFont="1" applyBorder="1" applyAlignment="1">
      <alignment horizontal="center"/>
    </xf>
    <xf numFmtId="0" fontId="10" fillId="0" borderId="3" xfId="0" applyFont="1" applyBorder="1"/>
    <xf numFmtId="9" fontId="10" fillId="3" borderId="3" xfId="8" applyFont="1" applyFill="1" applyBorder="1"/>
    <xf numFmtId="0" fontId="11" fillId="0" borderId="3" xfId="7" applyFont="1" applyBorder="1" applyAlignment="1">
      <alignment horizontal="left"/>
    </xf>
    <xf numFmtId="0" fontId="11" fillId="0" borderId="0" xfId="7" applyFont="1" applyAlignment="1">
      <alignment horizontal="center" wrapText="1"/>
    </xf>
    <xf numFmtId="0" fontId="17" fillId="0" borderId="0" xfId="7" applyFont="1" applyAlignment="1">
      <alignment horizontal="left" vertical="center"/>
    </xf>
    <xf numFmtId="44" fontId="17" fillId="0" borderId="0" xfId="7" applyNumberFormat="1" applyFont="1" applyAlignment="1">
      <alignment horizontal="left" vertical="center"/>
    </xf>
    <xf numFmtId="0" fontId="19" fillId="0" borderId="0" xfId="7" applyFont="1" applyAlignment="1">
      <alignment horizontal="left" vertical="center"/>
    </xf>
    <xf numFmtId="0" fontId="22" fillId="3" borderId="2" xfId="7" applyFont="1" applyFill="1" applyBorder="1" applyAlignment="1">
      <alignment horizontal="left"/>
    </xf>
    <xf numFmtId="0" fontId="16" fillId="0" borderId="0" xfId="7" applyFont="1" applyAlignment="1">
      <alignment horizontal="left" wrapText="1"/>
    </xf>
    <xf numFmtId="44" fontId="12" fillId="0" borderId="0" xfId="0" applyNumberFormat="1" applyFont="1" applyAlignment="1">
      <alignment wrapText="1"/>
    </xf>
    <xf numFmtId="44" fontId="13" fillId="0" borderId="0" xfId="0" applyNumberFormat="1" applyFont="1" applyAlignment="1">
      <alignment horizontal="center"/>
    </xf>
    <xf numFmtId="44" fontId="22" fillId="0" borderId="0" xfId="0" applyNumberFormat="1" applyFont="1"/>
    <xf numFmtId="10" fontId="22" fillId="0" borderId="0" xfId="8" applyNumberFormat="1" applyFont="1"/>
    <xf numFmtId="0" fontId="13" fillId="0" borderId="0" xfId="0" applyFont="1" applyAlignment="1">
      <alignment horizontal="center" vertical="center"/>
    </xf>
    <xf numFmtId="0" fontId="10" fillId="0" borderId="0" xfId="7" applyFont="1" applyAlignment="1">
      <alignment horizontal="left"/>
    </xf>
    <xf numFmtId="0" fontId="10" fillId="0" borderId="0" xfId="7" applyFont="1" applyAlignment="1">
      <alignment horizontal="left" vertical="center"/>
    </xf>
    <xf numFmtId="0" fontId="17" fillId="0" borderId="0" xfId="7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0" fillId="0" borderId="1" xfId="3" applyFont="1" applyBorder="1">
      <alignment horizontal="center" vertical="top"/>
    </xf>
    <xf numFmtId="4" fontId="10" fillId="3" borderId="0" xfId="3" applyFont="1" applyFill="1" applyAlignment="1">
      <alignment horizontal="center"/>
    </xf>
    <xf numFmtId="4" fontId="10" fillId="3" borderId="0" xfId="3" applyFont="1" applyFill="1">
      <alignment horizontal="center" vertical="top"/>
    </xf>
    <xf numFmtId="4" fontId="10" fillId="3" borderId="1" xfId="3" applyFont="1" applyFill="1" applyBorder="1" applyAlignment="1">
      <alignment horizontal="center"/>
    </xf>
    <xf numFmtId="164" fontId="10" fillId="3" borderId="0" xfId="3" applyNumberFormat="1" applyFont="1" applyFill="1" applyAlignment="1">
      <alignment horizontal="center"/>
    </xf>
    <xf numFmtId="164" fontId="10" fillId="0" borderId="1" xfId="3" applyNumberFormat="1" applyFont="1" applyBorder="1">
      <alignment horizontal="center" vertical="top"/>
    </xf>
    <xf numFmtId="164" fontId="11" fillId="0" borderId="0" xfId="3" applyNumberFormat="1" applyFont="1">
      <alignment horizontal="center" vertical="top"/>
    </xf>
    <xf numFmtId="9" fontId="10" fillId="0" borderId="0" xfId="8" applyFont="1" applyAlignment="1">
      <alignment horizontal="center"/>
    </xf>
    <xf numFmtId="0" fontId="11" fillId="0" borderId="2" xfId="7" applyFont="1" applyBorder="1" applyAlignment="1">
      <alignment horizontal="center" wrapText="1"/>
    </xf>
    <xf numFmtId="0" fontId="17" fillId="0" borderId="0" xfId="8" applyNumberFormat="1" applyFont="1"/>
    <xf numFmtId="4" fontId="11" fillId="0" borderId="0" xfId="3" applyFont="1" applyAlignment="1">
      <alignment horizontal="center" wrapText="1"/>
    </xf>
    <xf numFmtId="4" fontId="22" fillId="0" borderId="0" xfId="3" applyFont="1" applyAlignment="1">
      <alignment wrapText="1"/>
    </xf>
    <xf numFmtId="4" fontId="10" fillId="0" borderId="0" xfId="3" applyFont="1" applyAlignment="1">
      <alignment wrapText="1"/>
    </xf>
    <xf numFmtId="4" fontId="18" fillId="0" borderId="0" xfId="3" applyFont="1" applyAlignment="1">
      <alignment horizontal="center"/>
    </xf>
    <xf numFmtId="4" fontId="18" fillId="0" borderId="0" xfId="3" applyFont="1">
      <alignment horizontal="center" vertical="top"/>
    </xf>
    <xf numFmtId="0" fontId="24" fillId="2" borderId="0" xfId="2" applyFont="1" applyAlignment="1">
      <alignment horizontal="center"/>
    </xf>
    <xf numFmtId="0" fontId="22" fillId="0" borderId="3" xfId="0" applyFont="1" applyBorder="1"/>
    <xf numFmtId="0" fontId="25" fillId="0" borderId="3" xfId="0" applyFont="1" applyBorder="1"/>
    <xf numFmtId="0" fontId="10" fillId="0" borderId="0" xfId="0" applyFont="1" applyAlignment="1">
      <alignment wrapText="1"/>
    </xf>
    <xf numFmtId="44" fontId="10" fillId="0" borderId="0" xfId="0" applyNumberFormat="1" applyFont="1"/>
    <xf numFmtId="164" fontId="10" fillId="0" borderId="2" xfId="0" applyNumberFormat="1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" fontId="18" fillId="0" borderId="0" xfId="3" applyFont="1" applyAlignment="1"/>
    <xf numFmtId="0" fontId="17" fillId="3" borderId="6" xfId="7" applyFont="1" applyFill="1" applyBorder="1" applyAlignment="1">
      <alignment horizontal="center"/>
    </xf>
    <xf numFmtId="0" fontId="17" fillId="3" borderId="7" xfId="7" applyFont="1" applyFill="1" applyBorder="1" applyAlignment="1">
      <alignment horizontal="center"/>
    </xf>
    <xf numFmtId="0" fontId="17" fillId="3" borderId="9" xfId="7" applyFont="1" applyFill="1" applyBorder="1" applyAlignment="1">
      <alignment horizontal="center"/>
    </xf>
    <xf numFmtId="0" fontId="17" fillId="3" borderId="10" xfId="7" applyFont="1" applyFill="1" applyBorder="1" applyAlignment="1">
      <alignment horizontal="center"/>
    </xf>
    <xf numFmtId="44" fontId="17" fillId="3" borderId="11" xfId="7" applyNumberFormat="1" applyFont="1" applyFill="1" applyBorder="1" applyAlignment="1">
      <alignment horizontal="center"/>
    </xf>
    <xf numFmtId="0" fontId="17" fillId="3" borderId="12" xfId="7" applyFont="1" applyFill="1" applyBorder="1" applyAlignment="1">
      <alignment horizontal="center"/>
    </xf>
    <xf numFmtId="0" fontId="17" fillId="3" borderId="13" xfId="7" applyFont="1" applyFill="1" applyBorder="1" applyAlignment="1">
      <alignment horizontal="center"/>
    </xf>
    <xf numFmtId="44" fontId="17" fillId="3" borderId="14" xfId="7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7" fillId="0" borderId="2" xfId="7" applyFont="1" applyBorder="1" applyAlignment="1">
      <alignment horizontal="left" vertical="center"/>
    </xf>
    <xf numFmtId="0" fontId="17" fillId="0" borderId="2" xfId="7" applyFont="1" applyBorder="1" applyAlignment="1">
      <alignment horizontal="left" wrapText="1"/>
    </xf>
    <xf numFmtId="0" fontId="17" fillId="0" borderId="2" xfId="7" applyFont="1" applyBorder="1" applyAlignment="1">
      <alignment wrapText="1"/>
    </xf>
    <xf numFmtId="0" fontId="17" fillId="0" borderId="2" xfId="7" applyFont="1" applyBorder="1" applyAlignment="1">
      <alignment horizontal="center"/>
    </xf>
    <xf numFmtId="165" fontId="18" fillId="0" borderId="2" xfId="7" applyNumberFormat="1" applyFont="1" applyBorder="1"/>
    <xf numFmtId="9" fontId="17" fillId="0" borderId="2" xfId="8" applyFont="1" applyBorder="1"/>
    <xf numFmtId="167" fontId="10" fillId="0" borderId="0" xfId="7" applyNumberFormat="1" applyFont="1" applyAlignment="1">
      <alignment horizontal="center"/>
    </xf>
    <xf numFmtId="0" fontId="8" fillId="0" borderId="0" xfId="7" applyFont="1" applyAlignment="1">
      <alignment horizontal="center"/>
    </xf>
    <xf numFmtId="0" fontId="10" fillId="0" borderId="0" xfId="7" applyFont="1" applyAlignment="1">
      <alignment horizontal="center"/>
    </xf>
    <xf numFmtId="166" fontId="10" fillId="0" borderId="0" xfId="7" applyNumberFormat="1" applyFont="1" applyAlignment="1">
      <alignment horizontal="center"/>
    </xf>
    <xf numFmtId="0" fontId="10" fillId="0" borderId="0" xfId="7" applyFont="1" applyAlignment="1">
      <alignment horizontal="center" vertical="center"/>
    </xf>
    <xf numFmtId="168" fontId="10" fillId="0" borderId="0" xfId="7" applyNumberFormat="1" applyFont="1" applyAlignment="1">
      <alignment horizontal="center"/>
    </xf>
    <xf numFmtId="0" fontId="10" fillId="0" borderId="16" xfId="0" applyFont="1" applyBorder="1"/>
    <xf numFmtId="9" fontId="10" fillId="0" borderId="15" xfId="8" applyFont="1" applyFill="1" applyBorder="1"/>
    <xf numFmtId="0" fontId="11" fillId="0" borderId="3" xfId="7" applyFont="1" applyBorder="1"/>
    <xf numFmtId="0" fontId="22" fillId="0" borderId="0" xfId="7" applyFont="1" applyAlignment="1">
      <alignment horizontal="center" wrapText="1"/>
    </xf>
    <xf numFmtId="0" fontId="10" fillId="0" borderId="0" xfId="7" applyFont="1" applyAlignment="1">
      <alignment wrapText="1"/>
    </xf>
    <xf numFmtId="0" fontId="12" fillId="0" borderId="0" xfId="7" applyFont="1"/>
    <xf numFmtId="0" fontId="10" fillId="0" borderId="0" xfId="7" applyFont="1"/>
    <xf numFmtId="0" fontId="10" fillId="0" borderId="20" xfId="7" applyFont="1" applyBorder="1"/>
    <xf numFmtId="164" fontId="10" fillId="0" borderId="0" xfId="7" applyNumberFormat="1" applyFont="1" applyAlignment="1">
      <alignment horizontal="center"/>
    </xf>
    <xf numFmtId="0" fontId="11" fillId="0" borderId="0" xfId="7" applyFont="1" applyAlignment="1">
      <alignment horizontal="center" vertical="center" wrapText="1"/>
    </xf>
    <xf numFmtId="0" fontId="10" fillId="0" borderId="0" xfId="7" applyFont="1" applyAlignment="1">
      <alignment vertical="center"/>
    </xf>
    <xf numFmtId="0" fontId="10" fillId="3" borderId="6" xfId="7" applyFont="1" applyFill="1" applyBorder="1" applyAlignment="1">
      <alignment horizontal="left"/>
    </xf>
    <xf numFmtId="2" fontId="10" fillId="0" borderId="0" xfId="7" applyNumberFormat="1" applyFont="1" applyAlignment="1">
      <alignment horizontal="left"/>
    </xf>
    <xf numFmtId="0" fontId="10" fillId="3" borderId="6" xfId="7" applyFont="1" applyFill="1" applyBorder="1" applyAlignment="1">
      <alignment horizontal="center"/>
    </xf>
    <xf numFmtId="44" fontId="10" fillId="0" borderId="0" xfId="7" applyNumberFormat="1" applyFont="1"/>
    <xf numFmtId="0" fontId="10" fillId="3" borderId="9" xfId="7" applyFont="1" applyFill="1" applyBorder="1" applyAlignment="1">
      <alignment horizontal="left"/>
    </xf>
    <xf numFmtId="0" fontId="10" fillId="3" borderId="9" xfId="7" applyFont="1" applyFill="1" applyBorder="1" applyAlignment="1">
      <alignment horizontal="center"/>
    </xf>
    <xf numFmtId="0" fontId="10" fillId="0" borderId="0" xfId="7" applyFont="1" applyAlignment="1">
      <alignment horizontal="left" wrapText="1"/>
    </xf>
    <xf numFmtId="165" fontId="10" fillId="0" borderId="0" xfId="7" applyNumberFormat="1" applyFont="1"/>
    <xf numFmtId="9" fontId="10" fillId="0" borderId="0" xfId="8" applyFont="1" applyAlignment="1">
      <alignment horizontal="center" vertical="center"/>
    </xf>
    <xf numFmtId="0" fontId="10" fillId="3" borderId="18" xfId="7" applyFont="1" applyFill="1" applyBorder="1" applyAlignment="1">
      <alignment horizontal="left" vertical="center"/>
    </xf>
    <xf numFmtId="0" fontId="10" fillId="3" borderId="8" xfId="7" applyFont="1" applyFill="1" applyBorder="1" applyAlignment="1">
      <alignment horizontal="center"/>
    </xf>
    <xf numFmtId="0" fontId="10" fillId="3" borderId="19" xfId="7" applyFont="1" applyFill="1" applyBorder="1" applyAlignment="1">
      <alignment horizontal="left" vertical="center"/>
    </xf>
    <xf numFmtId="0" fontId="10" fillId="3" borderId="11" xfId="7" applyFont="1" applyFill="1" applyBorder="1" applyAlignment="1">
      <alignment horizontal="center"/>
    </xf>
    <xf numFmtId="0" fontId="10" fillId="3" borderId="12" xfId="7" applyFont="1" applyFill="1" applyBorder="1" applyAlignment="1">
      <alignment horizontal="center"/>
    </xf>
    <xf numFmtId="0" fontId="10" fillId="3" borderId="14" xfId="7" applyFont="1" applyFill="1" applyBorder="1" applyAlignment="1">
      <alignment horizontal="center"/>
    </xf>
    <xf numFmtId="9" fontId="11" fillId="0" borderId="2" xfId="8" applyFont="1" applyBorder="1" applyAlignment="1">
      <alignment horizontal="center"/>
    </xf>
    <xf numFmtId="0" fontId="11" fillId="0" borderId="2" xfId="7" applyFont="1" applyBorder="1" applyAlignment="1">
      <alignment horizontal="center"/>
    </xf>
    <xf numFmtId="9" fontId="10" fillId="0" borderId="0" xfId="8" applyFont="1"/>
    <xf numFmtId="10" fontId="10" fillId="0" borderId="0" xfId="0" applyNumberFormat="1" applyFont="1"/>
    <xf numFmtId="164" fontId="11" fillId="0" borderId="0" xfId="0" applyNumberFormat="1" applyFont="1"/>
    <xf numFmtId="0" fontId="11" fillId="0" borderId="0" xfId="0" applyFont="1"/>
    <xf numFmtId="0" fontId="20" fillId="0" borderId="0" xfId="0" applyFont="1" applyAlignment="1">
      <alignment horizontal="right"/>
    </xf>
    <xf numFmtId="0" fontId="21" fillId="0" borderId="0" xfId="0" applyFont="1"/>
    <xf numFmtId="9" fontId="10" fillId="0" borderId="0" xfId="8" applyFont="1" applyBorder="1"/>
    <xf numFmtId="0" fontId="11" fillId="0" borderId="2" xfId="0" applyFont="1" applyBorder="1"/>
    <xf numFmtId="165" fontId="11" fillId="4" borderId="2" xfId="7" applyNumberFormat="1" applyFont="1" applyFill="1" applyBorder="1"/>
    <xf numFmtId="9" fontId="17" fillId="0" borderId="0" xfId="8" applyFont="1" applyBorder="1"/>
    <xf numFmtId="0" fontId="20" fillId="0" borderId="2" xfId="0" applyFont="1" applyBorder="1" applyAlignment="1">
      <alignment horizontal="right"/>
    </xf>
    <xf numFmtId="0" fontId="21" fillId="0" borderId="2" xfId="0" applyFont="1" applyBorder="1"/>
    <xf numFmtId="165" fontId="11" fillId="0" borderId="2" xfId="0" applyNumberFormat="1" applyFont="1" applyBorder="1"/>
    <xf numFmtId="0" fontId="10" fillId="3" borderId="12" xfId="7" applyFont="1" applyFill="1" applyBorder="1" applyAlignment="1">
      <alignment horizontal="left"/>
    </xf>
    <xf numFmtId="0" fontId="18" fillId="0" borderId="0" xfId="7" applyFont="1" applyAlignment="1">
      <alignment horizontal="center"/>
    </xf>
    <xf numFmtId="44" fontId="18" fillId="5" borderId="18" xfId="7" applyNumberFormat="1" applyFont="1" applyFill="1" applyBorder="1"/>
    <xf numFmtId="44" fontId="11" fillId="5" borderId="19" xfId="7" applyNumberFormat="1" applyFont="1" applyFill="1" applyBorder="1"/>
    <xf numFmtId="44" fontId="11" fillId="5" borderId="19" xfId="0" applyNumberFormat="1" applyFont="1" applyFill="1" applyBorder="1"/>
    <xf numFmtId="0" fontId="0" fillId="0" borderId="2" xfId="0" applyBorder="1"/>
    <xf numFmtId="170" fontId="10" fillId="0" borderId="2" xfId="7" applyNumberFormat="1" applyFont="1" applyBorder="1" applyAlignment="1">
      <alignment horizontal="center"/>
    </xf>
    <xf numFmtId="0" fontId="10" fillId="0" borderId="20" xfId="0" applyFont="1" applyBorder="1"/>
    <xf numFmtId="0" fontId="11" fillId="0" borderId="20" xfId="0" applyFont="1" applyBorder="1"/>
    <xf numFmtId="0" fontId="11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22" fillId="3" borderId="0" xfId="7" applyFont="1" applyFill="1" applyAlignment="1">
      <alignment horizontal="left" wrapText="1"/>
    </xf>
    <xf numFmtId="0" fontId="11" fillId="0" borderId="3" xfId="7" applyFont="1" applyBorder="1" applyAlignment="1">
      <alignment horizontal="center" vertical="center" wrapText="1"/>
    </xf>
    <xf numFmtId="44" fontId="10" fillId="0" borderId="3" xfId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6" borderId="3" xfId="0" applyFont="1" applyFill="1" applyBorder="1"/>
    <xf numFmtId="44" fontId="10" fillId="6" borderId="3" xfId="1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169" fontId="10" fillId="0" borderId="0" xfId="7" applyNumberFormat="1" applyFont="1" applyAlignment="1">
      <alignment horizontal="center"/>
    </xf>
    <xf numFmtId="0" fontId="10" fillId="0" borderId="17" xfId="0" applyFont="1" applyBorder="1" applyAlignment="1">
      <alignment horizontal="center"/>
    </xf>
    <xf numFmtId="44" fontId="11" fillId="0" borderId="17" xfId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/>
    </xf>
    <xf numFmtId="0" fontId="11" fillId="0" borderId="17" xfId="7" applyFont="1" applyBorder="1" applyAlignment="1">
      <alignment horizontal="center" vertical="center" wrapText="1"/>
    </xf>
    <xf numFmtId="44" fontId="11" fillId="0" borderId="17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44" fontId="1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 wrapText="1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44" fontId="13" fillId="0" borderId="5" xfId="0" applyNumberFormat="1" applyFont="1" applyBorder="1" applyAlignment="1">
      <alignment horizontal="center"/>
    </xf>
    <xf numFmtId="44" fontId="13" fillId="0" borderId="4" xfId="0" applyNumberFormat="1" applyFont="1" applyBorder="1" applyAlignment="1">
      <alignment horizontal="center"/>
    </xf>
    <xf numFmtId="164" fontId="13" fillId="0" borderId="4" xfId="0" applyNumberFormat="1" applyFont="1" applyBorder="1" applyAlignment="1">
      <alignment horizontal="center"/>
    </xf>
    <xf numFmtId="44" fontId="26" fillId="0" borderId="0" xfId="0" applyNumberFormat="1" applyFont="1" applyAlignment="1">
      <alignment horizontal="center" wrapText="1"/>
    </xf>
    <xf numFmtId="44" fontId="26" fillId="0" borderId="0" xfId="0" applyNumberFormat="1" applyFont="1" applyAlignment="1">
      <alignment horizontal="center"/>
    </xf>
    <xf numFmtId="0" fontId="28" fillId="3" borderId="0" xfId="0" applyFont="1" applyFill="1"/>
    <xf numFmtId="0" fontId="10" fillId="3" borderId="6" xfId="0" applyFont="1" applyFill="1" applyBorder="1"/>
    <xf numFmtId="170" fontId="10" fillId="0" borderId="0" xfId="7" applyNumberFormat="1" applyFont="1" applyAlignment="1">
      <alignment horizontal="center"/>
    </xf>
    <xf numFmtId="9" fontId="17" fillId="0" borderId="0" xfId="8" applyFont="1" applyFill="1" applyBorder="1"/>
    <xf numFmtId="9" fontId="10" fillId="0" borderId="0" xfId="8" applyFont="1" applyFill="1" applyBorder="1"/>
    <xf numFmtId="164" fontId="11" fillId="0" borderId="0" xfId="7" applyNumberFormat="1" applyFont="1"/>
    <xf numFmtId="9" fontId="17" fillId="0" borderId="5" xfId="8" applyFont="1" applyBorder="1"/>
    <xf numFmtId="170" fontId="10" fillId="0" borderId="5" xfId="7" applyNumberFormat="1" applyFont="1" applyBorder="1" applyAlignment="1">
      <alignment horizontal="center"/>
    </xf>
    <xf numFmtId="0" fontId="17" fillId="0" borderId="5" xfId="7" applyFont="1" applyBorder="1" applyAlignment="1">
      <alignment wrapText="1"/>
    </xf>
    <xf numFmtId="0" fontId="17" fillId="0" borderId="5" xfId="7" applyFont="1" applyBorder="1" applyAlignment="1">
      <alignment horizontal="center"/>
    </xf>
    <xf numFmtId="165" fontId="18" fillId="0" borderId="5" xfId="7" applyNumberFormat="1" applyFont="1" applyBorder="1"/>
    <xf numFmtId="0" fontId="11" fillId="0" borderId="5" xfId="0" applyFont="1" applyBorder="1"/>
    <xf numFmtId="165" fontId="11" fillId="0" borderId="5" xfId="7" applyNumberFormat="1" applyFont="1" applyBorder="1"/>
    <xf numFmtId="0" fontId="10" fillId="0" borderId="23" xfId="0" applyFont="1" applyBorder="1"/>
    <xf numFmtId="9" fontId="10" fillId="0" borderId="22" xfId="8" applyFont="1" applyFill="1" applyBorder="1"/>
    <xf numFmtId="0" fontId="22" fillId="0" borderId="21" xfId="0" applyFont="1" applyBorder="1"/>
    <xf numFmtId="0" fontId="25" fillId="0" borderId="21" xfId="0" applyFont="1" applyBorder="1"/>
    <xf numFmtId="0" fontId="17" fillId="0" borderId="5" xfId="7" applyFont="1" applyBorder="1" applyAlignment="1">
      <alignment horizontal="left" wrapText="1"/>
    </xf>
    <xf numFmtId="9" fontId="17" fillId="0" borderId="5" xfId="8" applyFont="1" applyFill="1" applyBorder="1"/>
    <xf numFmtId="0" fontId="22" fillId="3" borderId="2" xfId="0" applyFont="1" applyFill="1" applyBorder="1"/>
    <xf numFmtId="0" fontId="27" fillId="0" borderId="0" xfId="0" applyFont="1" applyAlignment="1">
      <alignment horizontal="center" vertical="center"/>
    </xf>
    <xf numFmtId="171" fontId="10" fillId="0" borderId="0" xfId="7" applyNumberFormat="1" applyFont="1" applyAlignment="1">
      <alignment horizontal="center"/>
    </xf>
    <xf numFmtId="172" fontId="10" fillId="0" borderId="0" xfId="7" applyNumberFormat="1" applyFont="1" applyAlignment="1">
      <alignment horizontal="center"/>
    </xf>
    <xf numFmtId="173" fontId="10" fillId="0" borderId="0" xfId="7" applyNumberFormat="1" applyFont="1" applyAlignment="1">
      <alignment horizontal="center"/>
    </xf>
    <xf numFmtId="174" fontId="10" fillId="0" borderId="2" xfId="7" applyNumberFormat="1" applyFont="1" applyBorder="1" applyAlignment="1">
      <alignment horizontal="center"/>
    </xf>
    <xf numFmtId="175" fontId="10" fillId="0" borderId="0" xfId="7" applyNumberFormat="1" applyFont="1" applyAlignment="1">
      <alignment horizontal="center"/>
    </xf>
    <xf numFmtId="176" fontId="10" fillId="0" borderId="0" xfId="7" applyNumberFormat="1" applyFont="1" applyAlignment="1">
      <alignment horizontal="center"/>
    </xf>
    <xf numFmtId="177" fontId="10" fillId="0" borderId="0" xfId="7" applyNumberFormat="1" applyFont="1" applyAlignment="1">
      <alignment horizontal="center"/>
    </xf>
    <xf numFmtId="178" fontId="10" fillId="0" borderId="2" xfId="7" applyNumberFormat="1" applyFont="1" applyBorder="1" applyAlignment="1">
      <alignment horizontal="center"/>
    </xf>
    <xf numFmtId="179" fontId="10" fillId="0" borderId="0" xfId="7" applyNumberFormat="1" applyFont="1" applyAlignment="1">
      <alignment horizontal="center"/>
    </xf>
    <xf numFmtId="180" fontId="10" fillId="0" borderId="0" xfId="7" applyNumberFormat="1" applyFont="1" applyAlignment="1">
      <alignment horizontal="center"/>
    </xf>
    <xf numFmtId="181" fontId="10" fillId="0" borderId="0" xfId="7" applyNumberFormat="1" applyFont="1" applyAlignment="1">
      <alignment horizontal="center"/>
    </xf>
    <xf numFmtId="182" fontId="10" fillId="0" borderId="2" xfId="7" applyNumberFormat="1" applyFont="1" applyBorder="1" applyAlignment="1">
      <alignment horizontal="center"/>
    </xf>
    <xf numFmtId="0" fontId="22" fillId="0" borderId="2" xfId="7" applyFont="1" applyBorder="1" applyAlignment="1">
      <alignment horizontal="center"/>
    </xf>
    <xf numFmtId="0" fontId="22" fillId="3" borderId="0" xfId="7" applyFont="1" applyFill="1" applyAlignment="1">
      <alignment horizontal="left"/>
    </xf>
    <xf numFmtId="0" fontId="22" fillId="3" borderId="17" xfId="7" applyFont="1" applyFill="1" applyBorder="1" applyAlignment="1">
      <alignment horizontal="left"/>
    </xf>
    <xf numFmtId="164" fontId="10" fillId="3" borderId="3" xfId="7" applyNumberFormat="1" applyFont="1" applyFill="1" applyBorder="1" applyAlignment="1">
      <alignment horizontal="center"/>
    </xf>
    <xf numFmtId="9" fontId="10" fillId="0" borderId="15" xfId="8" applyFont="1" applyFill="1" applyBorder="1" applyAlignment="1"/>
    <xf numFmtId="164" fontId="11" fillId="4" borderId="3" xfId="7" applyNumberFormat="1" applyFont="1" applyFill="1" applyBorder="1"/>
    <xf numFmtId="9" fontId="10" fillId="3" borderId="3" xfId="8" applyFont="1" applyFill="1" applyBorder="1" applyAlignment="1"/>
    <xf numFmtId="0" fontId="11" fillId="0" borderId="0" xfId="7" applyFont="1" applyAlignment="1">
      <alignment horizontal="left" vertical="center"/>
    </xf>
    <xf numFmtId="9" fontId="10" fillId="0" borderId="0" xfId="8" applyFont="1" applyAlignment="1"/>
    <xf numFmtId="0" fontId="17" fillId="0" borderId="0" xfId="7" applyFont="1" applyAlignment="1">
      <alignment horizontal="left"/>
    </xf>
    <xf numFmtId="165" fontId="11" fillId="4" borderId="0" xfId="7" applyNumberFormat="1" applyFont="1" applyFill="1"/>
    <xf numFmtId="9" fontId="17" fillId="0" borderId="0" xfId="8" applyFont="1" applyBorder="1" applyAlignment="1"/>
    <xf numFmtId="0" fontId="17" fillId="0" borderId="5" xfId="7" applyFont="1" applyBorder="1" applyAlignment="1">
      <alignment horizontal="left"/>
    </xf>
    <xf numFmtId="0" fontId="17" fillId="0" borderId="5" xfId="7" applyFont="1" applyBorder="1"/>
    <xf numFmtId="0" fontId="0" fillId="0" borderId="5" xfId="0" applyBorder="1"/>
    <xf numFmtId="9" fontId="17" fillId="0" borderId="5" xfId="8" applyFont="1" applyBorder="1" applyAlignment="1"/>
    <xf numFmtId="0" fontId="22" fillId="0" borderId="0" xfId="7" applyFont="1" applyAlignment="1">
      <alignment horizontal="center"/>
    </xf>
    <xf numFmtId="9" fontId="10" fillId="0" borderId="0" xfId="8" applyFont="1" applyBorder="1" applyAlignment="1"/>
    <xf numFmtId="0" fontId="17" fillId="0" borderId="2" xfId="7" applyFont="1" applyBorder="1" applyAlignment="1">
      <alignment horizontal="left"/>
    </xf>
    <xf numFmtId="0" fontId="17" fillId="0" borderId="2" xfId="7" applyFont="1" applyBorder="1"/>
    <xf numFmtId="9" fontId="17" fillId="0" borderId="2" xfId="8" applyFont="1" applyBorder="1" applyAlignment="1"/>
    <xf numFmtId="2" fontId="10" fillId="3" borderId="3" xfId="7" applyNumberFormat="1" applyFont="1" applyFill="1" applyBorder="1" applyAlignment="1">
      <alignment horizontal="center"/>
    </xf>
    <xf numFmtId="0" fontId="22" fillId="0" borderId="5" xfId="7" applyFont="1" applyBorder="1" applyAlignment="1">
      <alignment horizontal="left"/>
    </xf>
    <xf numFmtId="0" fontId="10" fillId="3" borderId="24" xfId="7" applyFont="1" applyFill="1" applyBorder="1" applyAlignment="1">
      <alignment horizontal="center"/>
    </xf>
    <xf numFmtId="0" fontId="11" fillId="0" borderId="5" xfId="7" applyFont="1" applyBorder="1" applyAlignment="1">
      <alignment horizontal="left" vertical="center" wrapText="1"/>
    </xf>
    <xf numFmtId="0" fontId="11" fillId="0" borderId="5" xfId="7" applyFont="1" applyBorder="1" applyAlignment="1">
      <alignment horizontal="center" vertical="center" wrapText="1"/>
    </xf>
    <xf numFmtId="0" fontId="10" fillId="0" borderId="0" xfId="7" applyFont="1" applyAlignment="1">
      <alignment horizontal="center" wrapText="1"/>
    </xf>
    <xf numFmtId="0" fontId="11" fillId="0" borderId="3" xfId="7" applyFont="1" applyBorder="1" applyAlignment="1">
      <alignment wrapText="1"/>
    </xf>
    <xf numFmtId="0" fontId="11" fillId="0" borderId="0" xfId="7" applyFont="1" applyAlignment="1">
      <alignment wrapText="1"/>
    </xf>
    <xf numFmtId="0" fontId="10" fillId="3" borderId="6" xfId="7" applyFont="1" applyFill="1" applyBorder="1" applyAlignment="1">
      <alignment horizontal="center" wrapText="1"/>
    </xf>
    <xf numFmtId="0" fontId="10" fillId="3" borderId="9" xfId="7" applyFont="1" applyFill="1" applyBorder="1" applyAlignment="1">
      <alignment horizontal="center" wrapText="1"/>
    </xf>
    <xf numFmtId="44" fontId="10" fillId="0" borderId="0" xfId="7" applyNumberFormat="1" applyFont="1" applyAlignment="1">
      <alignment wrapText="1"/>
    </xf>
    <xf numFmtId="0" fontId="10" fillId="3" borderId="8" xfId="7" applyFont="1" applyFill="1" applyBorder="1" applyAlignment="1">
      <alignment horizontal="center" wrapText="1"/>
    </xf>
    <xf numFmtId="0" fontId="10" fillId="3" borderId="11" xfId="7" applyFont="1" applyFill="1" applyBorder="1" applyAlignment="1">
      <alignment horizontal="center" wrapText="1"/>
    </xf>
    <xf numFmtId="0" fontId="10" fillId="3" borderId="14" xfId="7" applyFont="1" applyFill="1" applyBorder="1" applyAlignment="1">
      <alignment horizontal="center" wrapText="1"/>
    </xf>
    <xf numFmtId="0" fontId="17" fillId="0" borderId="2" xfId="7" applyFont="1" applyBorder="1" applyAlignment="1">
      <alignment horizontal="center" wrapText="1"/>
    </xf>
    <xf numFmtId="0" fontId="17" fillId="0" borderId="5" xfId="7" applyFont="1" applyBorder="1" applyAlignment="1">
      <alignment horizontal="center" wrapText="1"/>
    </xf>
    <xf numFmtId="0" fontId="17" fillId="0" borderId="0" xfId="7" applyFont="1" applyAlignment="1">
      <alignment horizontal="center" wrapText="1"/>
    </xf>
    <xf numFmtId="0" fontId="10" fillId="0" borderId="2" xfId="0" applyFont="1" applyBorder="1" applyAlignment="1">
      <alignment horizontal="center"/>
    </xf>
    <xf numFmtId="44" fontId="10" fillId="0" borderId="2" xfId="1" applyFont="1" applyBorder="1"/>
    <xf numFmtId="165" fontId="23" fillId="0" borderId="2" xfId="7" applyNumberFormat="1" applyFont="1" applyBorder="1"/>
    <xf numFmtId="10" fontId="10" fillId="0" borderId="2" xfId="0" applyNumberFormat="1" applyFont="1" applyBorder="1"/>
    <xf numFmtId="167" fontId="10" fillId="0" borderId="2" xfId="7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0" fillId="3" borderId="6" xfId="7" applyNumberFormat="1" applyFont="1" applyFill="1" applyBorder="1" applyAlignment="1">
      <alignment horizontal="center"/>
    </xf>
    <xf numFmtId="164" fontId="10" fillId="3" borderId="24" xfId="7" applyNumberFormat="1" applyFont="1" applyFill="1" applyBorder="1" applyAlignment="1">
      <alignment horizontal="center"/>
    </xf>
    <xf numFmtId="164" fontId="11" fillId="0" borderId="5" xfId="7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wrapText="1"/>
    </xf>
    <xf numFmtId="44" fontId="29" fillId="0" borderId="0" xfId="0" applyNumberFormat="1" applyFont="1"/>
    <xf numFmtId="0" fontId="0" fillId="0" borderId="0" xfId="0" applyAlignment="1">
      <alignment horizontal="center"/>
    </xf>
    <xf numFmtId="0" fontId="29" fillId="0" borderId="0" xfId="0" applyFont="1"/>
    <xf numFmtId="0" fontId="11" fillId="0" borderId="0" xfId="0" applyFont="1" applyAlignment="1">
      <alignment vertical="center"/>
    </xf>
    <xf numFmtId="0" fontId="22" fillId="3" borderId="2" xfId="7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7" fillId="3" borderId="9" xfId="7" applyFont="1" applyFill="1" applyBorder="1" applyAlignment="1">
      <alignment vertical="center"/>
    </xf>
    <xf numFmtId="0" fontId="10" fillId="3" borderId="6" xfId="7" applyFont="1" applyFill="1" applyBorder="1" applyAlignment="1">
      <alignment vertical="center"/>
    </xf>
    <xf numFmtId="0" fontId="17" fillId="3" borderId="12" xfId="7" applyFont="1" applyFill="1" applyBorder="1" applyAlignment="1">
      <alignment vertical="center"/>
    </xf>
    <xf numFmtId="2" fontId="10" fillId="0" borderId="0" xfId="3" applyNumberFormat="1" applyFont="1">
      <alignment horizontal="center" vertical="top"/>
    </xf>
    <xf numFmtId="44" fontId="17" fillId="3" borderId="11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4" fontId="30" fillId="0" borderId="0" xfId="0" applyNumberFormat="1" applyFont="1" applyAlignment="1">
      <alignment horizontal="right"/>
    </xf>
    <xf numFmtId="44" fontId="30" fillId="0" borderId="0" xfId="0" applyNumberFormat="1" applyFont="1"/>
    <xf numFmtId="44" fontId="7" fillId="0" borderId="0" xfId="0" applyNumberFormat="1" applyFont="1"/>
    <xf numFmtId="0" fontId="17" fillId="3" borderId="6" xfId="7" applyFont="1" applyFill="1" applyBorder="1" applyAlignment="1">
      <alignment vertical="center"/>
    </xf>
    <xf numFmtId="0" fontId="22" fillId="3" borderId="17" xfId="29" applyFont="1" applyFill="1" applyBorder="1" applyAlignment="1">
      <alignment horizontal="left"/>
    </xf>
    <xf numFmtId="0" fontId="17" fillId="3" borderId="9" xfId="29" applyFont="1" applyFill="1" applyBorder="1" applyAlignment="1">
      <alignment horizontal="center"/>
    </xf>
    <xf numFmtId="0" fontId="17" fillId="3" borderId="10" xfId="29" applyFont="1" applyFill="1" applyBorder="1" applyAlignment="1">
      <alignment horizontal="center"/>
    </xf>
    <xf numFmtId="44" fontId="17" fillId="3" borderId="11" xfId="29" applyNumberFormat="1" applyFont="1" applyFill="1" applyBorder="1" applyAlignment="1">
      <alignment horizontal="center"/>
    </xf>
    <xf numFmtId="0" fontId="17" fillId="3" borderId="9" xfId="29" applyFont="1" applyFill="1" applyBorder="1" applyAlignment="1">
      <alignment vertical="center"/>
    </xf>
    <xf numFmtId="0" fontId="11" fillId="0" borderId="0" xfId="29" applyFont="1" applyAlignment="1">
      <alignment horizontal="center" vertical="center"/>
    </xf>
    <xf numFmtId="0" fontId="10" fillId="0" borderId="0" xfId="29" applyFont="1" applyAlignment="1">
      <alignment horizontal="center"/>
    </xf>
    <xf numFmtId="0" fontId="11" fillId="0" borderId="0" xfId="29" applyFont="1" applyAlignment="1">
      <alignment horizontal="center" vertical="center" wrapText="1"/>
    </xf>
    <xf numFmtId="0" fontId="10" fillId="3" borderId="6" xfId="29" applyFont="1" applyFill="1" applyBorder="1" applyAlignment="1">
      <alignment horizontal="left"/>
    </xf>
    <xf numFmtId="0" fontId="10" fillId="3" borderId="9" xfId="29" applyFont="1" applyFill="1" applyBorder="1" applyAlignment="1">
      <alignment horizontal="center"/>
    </xf>
    <xf numFmtId="0" fontId="10" fillId="3" borderId="19" xfId="29" applyFont="1" applyFill="1" applyBorder="1" applyAlignment="1">
      <alignment horizontal="left" vertical="center"/>
    </xf>
    <xf numFmtId="0" fontId="10" fillId="0" borderId="0" xfId="29" applyFont="1" applyAlignment="1">
      <alignment horizontal="left"/>
    </xf>
    <xf numFmtId="0" fontId="11" fillId="0" borderId="0" xfId="29" applyFont="1" applyAlignment="1">
      <alignment horizontal="left" vertical="center"/>
    </xf>
    <xf numFmtId="44" fontId="10" fillId="0" borderId="0" xfId="29" applyNumberFormat="1" applyFont="1"/>
    <xf numFmtId="0" fontId="10" fillId="0" borderId="0" xfId="29" applyFont="1"/>
    <xf numFmtId="0" fontId="10" fillId="0" borderId="0" xfId="29" applyFont="1" applyAlignment="1">
      <alignment horizontal="center" wrapText="1"/>
    </xf>
    <xf numFmtId="0" fontId="10" fillId="3" borderId="9" xfId="29" applyFont="1" applyFill="1" applyBorder="1" applyAlignment="1">
      <alignment horizontal="center" wrapText="1"/>
    </xf>
    <xf numFmtId="44" fontId="10" fillId="0" borderId="0" xfId="29" applyNumberFormat="1" applyFont="1" applyAlignment="1">
      <alignment wrapText="1"/>
    </xf>
    <xf numFmtId="0" fontId="10" fillId="3" borderId="11" xfId="29" applyFont="1" applyFill="1" applyBorder="1" applyAlignment="1">
      <alignment horizontal="center" wrapText="1"/>
    </xf>
    <xf numFmtId="0" fontId="10" fillId="3" borderId="6" xfId="29" applyFont="1" applyFill="1" applyBorder="1" applyAlignment="1">
      <alignment horizontal="center"/>
    </xf>
    <xf numFmtId="0" fontId="10" fillId="3" borderId="8" xfId="29" applyFont="1" applyFill="1" applyBorder="1" applyAlignment="1">
      <alignment horizontal="center" wrapText="1"/>
    </xf>
    <xf numFmtId="44" fontId="10" fillId="8" borderId="0" xfId="0" applyNumberFormat="1" applyFont="1" applyFill="1"/>
    <xf numFmtId="44" fontId="10" fillId="9" borderId="0" xfId="0" applyNumberFormat="1" applyFont="1" applyFill="1"/>
    <xf numFmtId="8" fontId="10" fillId="0" borderId="0" xfId="0" applyNumberFormat="1" applyFont="1"/>
    <xf numFmtId="8" fontId="14" fillId="0" borderId="0" xfId="0" applyNumberFormat="1" applyFont="1"/>
    <xf numFmtId="8" fontId="32" fillId="0" borderId="25" xfId="0" applyNumberFormat="1" applyFont="1" applyBorder="1" applyAlignment="1">
      <alignment vertical="center" wrapText="1"/>
    </xf>
    <xf numFmtId="8" fontId="32" fillId="0" borderId="26" xfId="0" applyNumberFormat="1" applyFont="1" applyBorder="1" applyAlignment="1">
      <alignment vertical="center" wrapText="1"/>
    </xf>
    <xf numFmtId="44" fontId="33" fillId="0" borderId="0" xfId="1" applyFont="1"/>
    <xf numFmtId="44" fontId="7" fillId="0" borderId="0" xfId="1" applyFont="1"/>
    <xf numFmtId="44" fontId="10" fillId="11" borderId="0" xfId="0" applyNumberFormat="1" applyFont="1" applyFill="1"/>
    <xf numFmtId="44" fontId="10" fillId="10" borderId="0" xfId="0" applyNumberFormat="1" applyFont="1" applyFill="1"/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/>
    </xf>
    <xf numFmtId="44" fontId="10" fillId="3" borderId="0" xfId="1" applyFont="1" applyFill="1"/>
    <xf numFmtId="0" fontId="31" fillId="3" borderId="0" xfId="0" applyFont="1" applyFill="1"/>
    <xf numFmtId="44" fontId="11" fillId="0" borderId="0" xfId="1" applyFont="1" applyFill="1" applyAlignment="1">
      <alignment horizontal="center"/>
    </xf>
    <xf numFmtId="44" fontId="10" fillId="0" borderId="0" xfId="1" applyFont="1" applyFill="1" applyAlignment="1">
      <alignment horizontal="center"/>
    </xf>
    <xf numFmtId="0" fontId="10" fillId="7" borderId="0" xfId="0" applyFont="1" applyFill="1"/>
    <xf numFmtId="44" fontId="17" fillId="5" borderId="18" xfId="7" applyNumberFormat="1" applyFont="1" applyFill="1" applyBorder="1"/>
    <xf numFmtId="0" fontId="34" fillId="0" borderId="0" xfId="0" applyFont="1"/>
    <xf numFmtId="0" fontId="34" fillId="0" borderId="0" xfId="0" applyFont="1" applyAlignment="1">
      <alignment wrapText="1"/>
    </xf>
    <xf numFmtId="4" fontId="10" fillId="3" borderId="9" xfId="7" applyNumberFormat="1" applyFont="1" applyFill="1" applyBorder="1" applyAlignment="1">
      <alignment horizontal="center"/>
    </xf>
    <xf numFmtId="4" fontId="17" fillId="3" borderId="9" xfId="7" applyNumberFormat="1" applyFont="1" applyFill="1" applyBorder="1" applyAlignment="1">
      <alignment vertical="center"/>
    </xf>
    <xf numFmtId="0" fontId="35" fillId="0" borderId="0" xfId="0" applyFont="1"/>
    <xf numFmtId="0" fontId="10" fillId="7" borderId="0" xfId="0" applyFont="1" applyFill="1" applyAlignment="1">
      <alignment wrapText="1"/>
    </xf>
    <xf numFmtId="0" fontId="35" fillId="7" borderId="0" xfId="0" applyFont="1" applyFill="1"/>
    <xf numFmtId="0" fontId="17" fillId="7" borderId="9" xfId="29" applyFont="1" applyFill="1" applyBorder="1" applyAlignment="1">
      <alignment vertical="center"/>
    </xf>
    <xf numFmtId="44" fontId="34" fillId="0" borderId="0" xfId="0" applyNumberFormat="1" applyFont="1"/>
    <xf numFmtId="0" fontId="22" fillId="0" borderId="17" xfId="7" applyFont="1" applyBorder="1" applyAlignment="1">
      <alignment horizontal="left"/>
    </xf>
    <xf numFmtId="0" fontId="8" fillId="0" borderId="0" xfId="0" applyFont="1"/>
    <xf numFmtId="0" fontId="17" fillId="7" borderId="9" xfId="29" applyFont="1" applyFill="1" applyBorder="1" applyAlignment="1">
      <alignment horizontal="center"/>
    </xf>
    <xf numFmtId="0" fontId="17" fillId="7" borderId="10" xfId="29" applyFont="1" applyFill="1" applyBorder="1" applyAlignment="1">
      <alignment horizontal="center"/>
    </xf>
    <xf numFmtId="4" fontId="0" fillId="7" borderId="0" xfId="0" applyNumberFormat="1" applyFill="1"/>
    <xf numFmtId="44" fontId="10" fillId="7" borderId="0" xfId="1" applyFont="1" applyFill="1"/>
    <xf numFmtId="4" fontId="18" fillId="0" borderId="0" xfId="3" applyFont="1" applyAlignment="1">
      <alignment horizontal="center"/>
    </xf>
  </cellXfs>
  <cellStyles count="42">
    <cellStyle name="Comma 2" xfId="14" xr:uid="{00000000-0005-0000-0000-000000000000}"/>
    <cellStyle name="Comma 2 2" xfId="34" xr:uid="{00000000-0005-0000-0000-000001000000}"/>
    <cellStyle name="Comma 2 3" xfId="41" xr:uid="{00000000-0005-0000-0000-000002000000}"/>
    <cellStyle name="Comma 2 4" xfId="25" xr:uid="{00000000-0005-0000-0000-000003000000}"/>
    <cellStyle name="Currency" xfId="1" builtinId="4"/>
    <cellStyle name="Currency 2" xfId="5" xr:uid="{00000000-0005-0000-0000-000005000000}"/>
    <cellStyle name="Currency 2 2" xfId="27" xr:uid="{00000000-0005-0000-0000-000006000000}"/>
    <cellStyle name="Currency 2 3" xfId="18" xr:uid="{00000000-0005-0000-0000-000007000000}"/>
    <cellStyle name="Currency 3" xfId="10" xr:uid="{00000000-0005-0000-0000-000008000000}"/>
    <cellStyle name="Currency 3 2" xfId="31" xr:uid="{00000000-0005-0000-0000-000009000000}"/>
    <cellStyle name="Currency 3 3" xfId="38" xr:uid="{00000000-0005-0000-0000-00000A000000}"/>
    <cellStyle name="Currency 3 4" xfId="22" xr:uid="{00000000-0005-0000-0000-00000B000000}"/>
    <cellStyle name="Good" xfId="2" builtinId="26"/>
    <cellStyle name="Normal" xfId="0" builtinId="0"/>
    <cellStyle name="Normal 2" xfId="3" xr:uid="{00000000-0005-0000-0000-00000E000000}"/>
    <cellStyle name="Normal 3" xfId="6" xr:uid="{00000000-0005-0000-0000-00000F000000}"/>
    <cellStyle name="Normal 3 2" xfId="4" xr:uid="{00000000-0005-0000-0000-000010000000}"/>
    <cellStyle name="Normal 3 2 2" xfId="26" xr:uid="{00000000-0005-0000-0000-000011000000}"/>
    <cellStyle name="Normal 3 2 3" xfId="17" xr:uid="{00000000-0005-0000-0000-000012000000}"/>
    <cellStyle name="Normal 3 3" xfId="28" xr:uid="{00000000-0005-0000-0000-000013000000}"/>
    <cellStyle name="Normal 3 4" xfId="35" xr:uid="{00000000-0005-0000-0000-000014000000}"/>
    <cellStyle name="Normal 3 5" xfId="19" xr:uid="{00000000-0005-0000-0000-000015000000}"/>
    <cellStyle name="Normal 4" xfId="7" xr:uid="{00000000-0005-0000-0000-000016000000}"/>
    <cellStyle name="Normal 4 2" xfId="29" xr:uid="{00000000-0005-0000-0000-000017000000}"/>
    <cellStyle name="Normal 4 3" xfId="36" xr:uid="{00000000-0005-0000-0000-000018000000}"/>
    <cellStyle name="Normal 4 4" xfId="20" xr:uid="{00000000-0005-0000-0000-000019000000}"/>
    <cellStyle name="Normal 5" xfId="9" xr:uid="{00000000-0005-0000-0000-00001A000000}"/>
    <cellStyle name="Normal 5 2" xfId="30" xr:uid="{00000000-0005-0000-0000-00001B000000}"/>
    <cellStyle name="Normal 5 3" xfId="37" xr:uid="{00000000-0005-0000-0000-00001C000000}"/>
    <cellStyle name="Normal 5 4" xfId="21" xr:uid="{00000000-0005-0000-0000-00001D000000}"/>
    <cellStyle name="Normal 6" xfId="11" xr:uid="{00000000-0005-0000-0000-00001E000000}"/>
    <cellStyle name="Normal 6 2" xfId="32" xr:uid="{00000000-0005-0000-0000-00001F000000}"/>
    <cellStyle name="Normal 6 3" xfId="39" xr:uid="{00000000-0005-0000-0000-000020000000}"/>
    <cellStyle name="Normal 6 4" xfId="23" xr:uid="{00000000-0005-0000-0000-000021000000}"/>
    <cellStyle name="Normal 7" xfId="12" xr:uid="{00000000-0005-0000-0000-000022000000}"/>
    <cellStyle name="Normal 8" xfId="13" xr:uid="{00000000-0005-0000-0000-000023000000}"/>
    <cellStyle name="Normal 8 2" xfId="33" xr:uid="{00000000-0005-0000-0000-000024000000}"/>
    <cellStyle name="Normal 8 3" xfId="40" xr:uid="{00000000-0005-0000-0000-000025000000}"/>
    <cellStyle name="Normal 8 4" xfId="24" xr:uid="{00000000-0005-0000-0000-000026000000}"/>
    <cellStyle name="Normal 9" xfId="15" xr:uid="{00000000-0005-0000-0000-000027000000}"/>
    <cellStyle name="Percent" xfId="8" builtinId="5"/>
    <cellStyle name="Percent 2" xfId="16" xr:uid="{00000000-0005-0000-0000-000029000000}"/>
  </cellStyles>
  <dxfs count="4"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CCFFCC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26"/>
  <sheetViews>
    <sheetView zoomScaleNormal="100" workbookViewId="0"/>
  </sheetViews>
  <sheetFormatPr defaultColWidth="9.21875" defaultRowHeight="13.8" x14ac:dyDescent="0.3"/>
  <cols>
    <col min="1" max="1" width="4.21875" style="32" bestFit="1" customWidth="1"/>
    <col min="2" max="16384" width="9.21875" style="31"/>
  </cols>
  <sheetData>
    <row r="1" spans="1:2" ht="15.6" x14ac:dyDescent="0.3">
      <c r="B1" s="206" t="s">
        <v>0</v>
      </c>
    </row>
    <row r="3" spans="1:2" x14ac:dyDescent="0.3">
      <c r="A3" s="32">
        <v>1</v>
      </c>
      <c r="B3" s="31" t="s">
        <v>1</v>
      </c>
    </row>
    <row r="4" spans="1:2" x14ac:dyDescent="0.3">
      <c r="B4" s="31" t="s">
        <v>2</v>
      </c>
    </row>
    <row r="6" spans="1:2" x14ac:dyDescent="0.3">
      <c r="A6" s="32">
        <v>2</v>
      </c>
      <c r="B6" s="31" t="s">
        <v>3</v>
      </c>
    </row>
    <row r="8" spans="1:2" x14ac:dyDescent="0.3">
      <c r="A8" s="32">
        <v>3</v>
      </c>
      <c r="B8" s="31" t="s">
        <v>4</v>
      </c>
    </row>
    <row r="10" spans="1:2" x14ac:dyDescent="0.3">
      <c r="A10" s="32">
        <v>4</v>
      </c>
      <c r="B10" s="31" t="s">
        <v>5</v>
      </c>
    </row>
    <row r="12" spans="1:2" x14ac:dyDescent="0.3">
      <c r="A12" s="32">
        <v>5</v>
      </c>
      <c r="B12" s="31" t="s">
        <v>6</v>
      </c>
    </row>
    <row r="14" spans="1:2" x14ac:dyDescent="0.3">
      <c r="A14" s="32" t="s">
        <v>7</v>
      </c>
      <c r="B14" s="31" t="s">
        <v>8</v>
      </c>
    </row>
    <row r="15" spans="1:2" x14ac:dyDescent="0.3">
      <c r="B15" s="31" t="s">
        <v>9</v>
      </c>
    </row>
    <row r="16" spans="1:2" x14ac:dyDescent="0.3">
      <c r="B16" s="31" t="s">
        <v>10</v>
      </c>
    </row>
    <row r="17" spans="1:2" x14ac:dyDescent="0.3">
      <c r="B17" s="31" t="s">
        <v>11</v>
      </c>
    </row>
    <row r="19" spans="1:2" x14ac:dyDescent="0.3">
      <c r="A19" s="32">
        <v>6</v>
      </c>
      <c r="B19" s="31" t="s">
        <v>12</v>
      </c>
    </row>
    <row r="21" spans="1:2" x14ac:dyDescent="0.3">
      <c r="A21" s="32">
        <v>7</v>
      </c>
      <c r="B21" s="31" t="s">
        <v>13</v>
      </c>
    </row>
    <row r="23" spans="1:2" x14ac:dyDescent="0.3">
      <c r="A23" s="32">
        <v>8</v>
      </c>
      <c r="B23" s="31" t="s">
        <v>14</v>
      </c>
    </row>
    <row r="25" spans="1:2" x14ac:dyDescent="0.3">
      <c r="A25" s="32">
        <v>9</v>
      </c>
      <c r="B25" s="31" t="s">
        <v>15</v>
      </c>
    </row>
    <row r="26" spans="1:2" x14ac:dyDescent="0.3">
      <c r="B26" s="31" t="s">
        <v>16</v>
      </c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&amp;C&amp;"Calibri,Bold"&amp;12&amp;UBudget Estimate Template&amp;R&amp;G</oddHeader>
    <oddFooter>&amp;L&amp;F - &amp;A&amp;CPage &amp;P of &amp;N&amp;R&amp;D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7030A0"/>
    <pageSetUpPr fitToPage="1"/>
  </sheetPr>
  <dimension ref="A1:P212"/>
  <sheetViews>
    <sheetView zoomScale="85" zoomScaleNormal="85" workbookViewId="0">
      <pane ySplit="2" topLeftCell="A114" activePane="bottomLeft" state="frozen"/>
      <selection activeCell="D17" sqref="D17"/>
      <selection pane="bottomLeft" activeCell="B135" sqref="B135"/>
    </sheetView>
  </sheetViews>
  <sheetFormatPr defaultRowHeight="13.8" x14ac:dyDescent="0.3"/>
  <cols>
    <col min="1" max="1" width="12" style="33" customWidth="1"/>
    <col min="2" max="2" width="50.77734375" style="99" bestFit="1" customWidth="1"/>
    <col min="3" max="3" width="12.77734375" style="31" customWidth="1"/>
    <col min="4" max="4" width="10.44140625" style="32" customWidth="1"/>
    <col min="5" max="5" width="12.21875" style="31" bestFit="1" customWidth="1"/>
    <col min="6" max="6" width="14.5546875" style="31" customWidth="1"/>
    <col min="7" max="7" width="12.21875" style="31" customWidth="1"/>
    <col min="8" max="11" width="14.5546875" style="31" customWidth="1"/>
    <col min="12" max="12" width="11.21875" style="31" customWidth="1"/>
    <col min="13" max="13" width="39.44140625" style="31" customWidth="1"/>
    <col min="14" max="14" width="2.77734375" style="31" customWidth="1"/>
    <col min="15" max="15" width="11" style="31" bestFit="1" customWidth="1"/>
    <col min="16" max="16" width="12" bestFit="1" customWidth="1"/>
    <col min="17" max="17" width="10.77734375" bestFit="1" customWidth="1"/>
  </cols>
  <sheetData>
    <row r="1" spans="1:16" ht="15.6" x14ac:dyDescent="0.3">
      <c r="A1" s="64" t="s">
        <v>183</v>
      </c>
      <c r="B1" s="291"/>
    </row>
    <row r="2" spans="1:16" x14ac:dyDescent="0.3">
      <c r="B2" s="292"/>
    </row>
    <row r="3" spans="1:16" ht="15.6" x14ac:dyDescent="0.3">
      <c r="A3" s="261" t="str">
        <f>'Installation 1'!B4</f>
        <v>Unloading of Pipe 99 trucks</v>
      </c>
      <c r="B3" s="293"/>
      <c r="C3" s="111"/>
      <c r="D3" s="111"/>
      <c r="E3" s="111"/>
      <c r="F3" s="111"/>
      <c r="G3" s="111"/>
      <c r="H3" s="111"/>
      <c r="I3" s="111"/>
      <c r="J3" s="112"/>
      <c r="K3" s="112"/>
      <c r="L3" s="112"/>
      <c r="M3" s="112"/>
    </row>
    <row r="4" spans="1:16" s="31" customFormat="1" ht="27.6" x14ac:dyDescent="0.3">
      <c r="A4" s="47" t="s">
        <v>184</v>
      </c>
      <c r="B4" s="290" t="s">
        <v>185</v>
      </c>
      <c r="C4" s="74" t="s">
        <v>47</v>
      </c>
      <c r="D4" s="74" t="s">
        <v>186</v>
      </c>
      <c r="E4" s="75" t="s">
        <v>98</v>
      </c>
      <c r="F4" s="48" t="s">
        <v>22</v>
      </c>
      <c r="G4" s="49" t="s">
        <v>187</v>
      </c>
      <c r="H4" s="49" t="s">
        <v>23</v>
      </c>
      <c r="I4" s="50" t="s">
        <v>100</v>
      </c>
      <c r="J4" s="50"/>
      <c r="L4" s="48" t="s">
        <v>101</v>
      </c>
      <c r="M4" s="48" t="s">
        <v>0</v>
      </c>
      <c r="N4" s="48"/>
      <c r="O4" s="93" t="s">
        <v>85</v>
      </c>
      <c r="P4" s="94"/>
    </row>
    <row r="5" spans="1:16" s="31" customFormat="1" x14ac:dyDescent="0.3">
      <c r="A5" s="103" t="s">
        <v>188</v>
      </c>
      <c r="B5" s="294" t="s">
        <v>189</v>
      </c>
      <c r="C5" s="104">
        <v>1</v>
      </c>
      <c r="D5" s="104" t="s">
        <v>57</v>
      </c>
      <c r="E5" s="105">
        <v>2500</v>
      </c>
      <c r="F5" s="36">
        <f t="shared" ref="F5:F11" si="0">C5*E5</f>
        <v>2500</v>
      </c>
      <c r="G5" s="36">
        <f t="shared" ref="G5:G11" si="1">IF(A5="",0,E5*(1+VLOOKUP(A5,$O$5:$P$9,2,FALSE)))</f>
        <v>3000</v>
      </c>
      <c r="H5" s="36">
        <f t="shared" ref="H5:H11" si="2">C5*G5</f>
        <v>3000</v>
      </c>
      <c r="I5" s="36">
        <f t="shared" ref="I5:I11" si="3">IF(OR($P$15=0,$P$15=""),H5*1,H5*(1+$P$15))</f>
        <v>3000</v>
      </c>
      <c r="O5" s="57" t="s">
        <v>190</v>
      </c>
      <c r="P5" s="58">
        <v>0.2</v>
      </c>
    </row>
    <row r="6" spans="1:16" s="31" customFormat="1" x14ac:dyDescent="0.3">
      <c r="A6" s="103"/>
      <c r="B6" s="294"/>
      <c r="C6" s="104"/>
      <c r="D6" s="104"/>
      <c r="E6" s="105"/>
      <c r="F6" s="36">
        <f t="shared" si="0"/>
        <v>0</v>
      </c>
      <c r="G6" s="36">
        <f t="shared" si="1"/>
        <v>0</v>
      </c>
      <c r="H6" s="36">
        <f t="shared" si="2"/>
        <v>0</v>
      </c>
      <c r="I6" s="36">
        <f t="shared" si="3"/>
        <v>0</v>
      </c>
      <c r="O6" s="57" t="s">
        <v>33</v>
      </c>
      <c r="P6" s="58">
        <v>0.2</v>
      </c>
    </row>
    <row r="7" spans="1:16" s="31" customFormat="1" x14ac:dyDescent="0.3">
      <c r="A7" s="103"/>
      <c r="B7" s="294"/>
      <c r="C7" s="104"/>
      <c r="D7" s="104"/>
      <c r="E7" s="105"/>
      <c r="F7" s="36">
        <f t="shared" si="0"/>
        <v>0</v>
      </c>
      <c r="G7" s="36">
        <f t="shared" si="1"/>
        <v>0</v>
      </c>
      <c r="H7" s="36">
        <f t="shared" si="2"/>
        <v>0</v>
      </c>
      <c r="I7" s="36">
        <f t="shared" si="3"/>
        <v>0</v>
      </c>
      <c r="O7" s="57" t="s">
        <v>188</v>
      </c>
      <c r="P7" s="58">
        <v>0.2</v>
      </c>
    </row>
    <row r="8" spans="1:16" s="31" customFormat="1" x14ac:dyDescent="0.3">
      <c r="A8" s="103"/>
      <c r="B8" s="294"/>
      <c r="C8" s="104"/>
      <c r="D8" s="104"/>
      <c r="E8" s="105"/>
      <c r="F8" s="36">
        <f t="shared" si="0"/>
        <v>0</v>
      </c>
      <c r="G8" s="36">
        <f t="shared" si="1"/>
        <v>0</v>
      </c>
      <c r="H8" s="36">
        <f t="shared" si="2"/>
        <v>0</v>
      </c>
      <c r="I8" s="36">
        <f t="shared" si="3"/>
        <v>0</v>
      </c>
      <c r="O8" s="57" t="s">
        <v>191</v>
      </c>
      <c r="P8" s="58">
        <v>5</v>
      </c>
    </row>
    <row r="9" spans="1:16" s="31" customFormat="1" x14ac:dyDescent="0.3">
      <c r="A9" s="103"/>
      <c r="B9" s="294"/>
      <c r="C9" s="104"/>
      <c r="D9" s="104"/>
      <c r="E9" s="105"/>
      <c r="F9" s="36">
        <f t="shared" si="0"/>
        <v>0</v>
      </c>
      <c r="G9" s="36">
        <f t="shared" si="1"/>
        <v>0</v>
      </c>
      <c r="H9" s="36">
        <f t="shared" si="2"/>
        <v>0</v>
      </c>
      <c r="I9" s="36">
        <f t="shared" si="3"/>
        <v>0</v>
      </c>
      <c r="O9" s="57" t="s">
        <v>192</v>
      </c>
      <c r="P9" s="58"/>
    </row>
    <row r="10" spans="1:16" s="31" customFormat="1" x14ac:dyDescent="0.3">
      <c r="A10" s="103"/>
      <c r="B10" s="294"/>
      <c r="C10" s="104"/>
      <c r="D10" s="104"/>
      <c r="E10" s="105"/>
      <c r="F10" s="36">
        <f t="shared" si="0"/>
        <v>0</v>
      </c>
      <c r="G10" s="36">
        <f t="shared" si="1"/>
        <v>0</v>
      </c>
      <c r="H10" s="36">
        <f t="shared" si="2"/>
        <v>0</v>
      </c>
      <c r="I10" s="36">
        <f t="shared" si="3"/>
        <v>0</v>
      </c>
      <c r="J10" s="325">
        <f>F9+F8+F7+F6+F5</f>
        <v>2500</v>
      </c>
    </row>
    <row r="11" spans="1:16" s="31" customFormat="1" x14ac:dyDescent="0.3">
      <c r="A11" s="101"/>
      <c r="B11" s="294"/>
      <c r="C11" s="107"/>
      <c r="D11" s="107"/>
      <c r="E11" s="108"/>
      <c r="F11" s="36">
        <f t="shared" si="0"/>
        <v>0</v>
      </c>
      <c r="G11" s="36">
        <f t="shared" si="1"/>
        <v>0</v>
      </c>
      <c r="H11" s="36">
        <f t="shared" si="2"/>
        <v>0</v>
      </c>
      <c r="I11" s="36">
        <f t="shared" si="3"/>
        <v>0</v>
      </c>
      <c r="J11" s="56" t="s">
        <v>108</v>
      </c>
      <c r="K11" s="55" t="s">
        <v>109</v>
      </c>
      <c r="L11" s="155"/>
    </row>
    <row r="12" spans="1:16" s="31" customFormat="1" x14ac:dyDescent="0.3">
      <c r="A12" s="33"/>
      <c r="B12" s="99"/>
      <c r="D12" s="32"/>
      <c r="E12" s="36"/>
      <c r="F12" s="54">
        <f>SUM(F5:F11)</f>
        <v>2500</v>
      </c>
      <c r="G12" s="54">
        <f>SUM(G5:G11)</f>
        <v>3000</v>
      </c>
      <c r="H12" s="54">
        <f>SUM(H5:H11)</f>
        <v>3000</v>
      </c>
      <c r="I12" s="54">
        <f>SUM(I5:I11)</f>
        <v>3000</v>
      </c>
      <c r="J12" s="54">
        <f>F12</f>
        <v>2500</v>
      </c>
      <c r="K12" s="34">
        <f>I12</f>
        <v>3000</v>
      </c>
      <c r="L12" s="155">
        <f>IF(F12=0,0,(I12-F12)/F12)</f>
        <v>0.2</v>
      </c>
      <c r="M12" s="120">
        <f>SUM(I5:I11)-SUM(F5:F11)</f>
        <v>500</v>
      </c>
      <c r="N12" s="86"/>
    </row>
    <row r="13" spans="1:16" ht="15.6" x14ac:dyDescent="0.3">
      <c r="A13" s="261" t="str">
        <f>'Installation 1'!B32</f>
        <v>3000m of 560 PN8 PE100 SDR21</v>
      </c>
      <c r="B13" s="293"/>
      <c r="C13" s="112"/>
      <c r="D13" s="113"/>
      <c r="E13" s="112"/>
      <c r="F13" s="112"/>
      <c r="G13" s="112"/>
      <c r="H13" s="112"/>
      <c r="I13" s="112"/>
      <c r="J13" s="112"/>
      <c r="K13" s="112"/>
      <c r="L13" s="112"/>
      <c r="M13" s="112"/>
      <c r="P13" s="31"/>
    </row>
    <row r="14" spans="1:16" s="31" customFormat="1" ht="27.6" x14ac:dyDescent="0.3">
      <c r="A14" s="47" t="s">
        <v>184</v>
      </c>
      <c r="B14" s="290" t="s">
        <v>185</v>
      </c>
      <c r="C14" s="74" t="s">
        <v>47</v>
      </c>
      <c r="D14" s="74" t="s">
        <v>186</v>
      </c>
      <c r="E14" s="75" t="s">
        <v>193</v>
      </c>
      <c r="F14" s="48" t="s">
        <v>22</v>
      </c>
      <c r="G14" s="49" t="s">
        <v>194</v>
      </c>
      <c r="H14" s="49" t="s">
        <v>23</v>
      </c>
      <c r="I14" s="50" t="s">
        <v>100</v>
      </c>
      <c r="O14" s="93" t="s">
        <v>195</v>
      </c>
      <c r="P14" s="94"/>
    </row>
    <row r="15" spans="1:16" s="31" customFormat="1" x14ac:dyDescent="0.3">
      <c r="A15" s="305" t="s">
        <v>190</v>
      </c>
      <c r="B15" s="308" t="s">
        <v>196</v>
      </c>
      <c r="C15" s="306">
        <v>1</v>
      </c>
      <c r="D15" s="306" t="s">
        <v>57</v>
      </c>
      <c r="E15" s="307">
        <v>2000</v>
      </c>
      <c r="F15" s="36">
        <f>C15*E15</f>
        <v>2000</v>
      </c>
      <c r="G15" s="36">
        <f t="shared" ref="G15:G40" si="4">IF(A15="",0,E15*(1+VLOOKUP(A15,$O$5:$P$9,2,FALSE)))</f>
        <v>2400</v>
      </c>
      <c r="H15" s="36">
        <f>C15*G15</f>
        <v>2400</v>
      </c>
      <c r="I15" s="36">
        <f>IF(OR($P$15=0,$P$15=""),H15*1,H15*(1+$P$15))</f>
        <v>2400</v>
      </c>
      <c r="O15" s="57"/>
      <c r="P15" s="58">
        <v>0</v>
      </c>
    </row>
    <row r="16" spans="1:16" s="31" customFormat="1" x14ac:dyDescent="0.3">
      <c r="A16" s="305" t="s">
        <v>190</v>
      </c>
      <c r="B16" s="308" t="s">
        <v>197</v>
      </c>
      <c r="C16" s="306">
        <v>1</v>
      </c>
      <c r="D16" s="306" t="s">
        <v>57</v>
      </c>
      <c r="E16" s="307">
        <v>2000</v>
      </c>
      <c r="F16" s="36">
        <f>C16*E16</f>
        <v>2000</v>
      </c>
      <c r="G16" s="36">
        <f t="shared" si="4"/>
        <v>2400</v>
      </c>
      <c r="H16" s="36">
        <f>C16*G16</f>
        <v>2400</v>
      </c>
      <c r="I16" s="36">
        <f>IF(OR($P$15=0,$P$15=""),H16*1,H16*(1+$P$15))</f>
        <v>2400</v>
      </c>
    </row>
    <row r="17" spans="1:9" s="31" customFormat="1" x14ac:dyDescent="0.3">
      <c r="A17" s="103" t="s">
        <v>190</v>
      </c>
      <c r="B17" s="339" t="s">
        <v>198</v>
      </c>
      <c r="C17" s="139">
        <v>1</v>
      </c>
      <c r="D17" s="139" t="s">
        <v>57</v>
      </c>
      <c r="E17" s="105">
        <v>1000</v>
      </c>
      <c r="F17" s="36">
        <f t="shared" ref="F17:F34" si="5">C17*E17</f>
        <v>1000</v>
      </c>
      <c r="G17" s="36">
        <f t="shared" si="4"/>
        <v>1200</v>
      </c>
      <c r="H17" s="36">
        <f t="shared" ref="H17:H34" si="6">C17*G17</f>
        <v>1200</v>
      </c>
      <c r="I17" s="36">
        <f t="shared" ref="I17:I34" si="7">IF(OR($P$15=0,$P$15=""),H17*1,H17*(1+$P$15))</f>
        <v>1200</v>
      </c>
    </row>
    <row r="18" spans="1:9" s="31" customFormat="1" x14ac:dyDescent="0.3">
      <c r="A18" s="305"/>
      <c r="B18" s="308"/>
      <c r="C18" s="306"/>
      <c r="D18" s="306"/>
      <c r="E18" s="307"/>
      <c r="F18" s="36">
        <f t="shared" si="5"/>
        <v>0</v>
      </c>
      <c r="G18" s="36">
        <f t="shared" si="4"/>
        <v>0</v>
      </c>
      <c r="H18" s="36">
        <f t="shared" si="6"/>
        <v>0</v>
      </c>
      <c r="I18" s="36">
        <f t="shared" si="7"/>
        <v>0</v>
      </c>
    </row>
    <row r="19" spans="1:9" s="31" customFormat="1" x14ac:dyDescent="0.3">
      <c r="A19" s="305"/>
      <c r="B19" s="308"/>
      <c r="C19" s="306"/>
      <c r="D19" s="306"/>
      <c r="E19" s="307"/>
      <c r="F19" s="36">
        <f t="shared" si="5"/>
        <v>0</v>
      </c>
      <c r="G19" s="36">
        <f t="shared" si="4"/>
        <v>0</v>
      </c>
      <c r="H19" s="36">
        <f t="shared" si="6"/>
        <v>0</v>
      </c>
      <c r="I19" s="36">
        <f t="shared" si="7"/>
        <v>0</v>
      </c>
    </row>
    <row r="20" spans="1:9" s="31" customFormat="1" x14ac:dyDescent="0.3">
      <c r="A20" s="305"/>
      <c r="B20" s="308"/>
      <c r="C20" s="306"/>
      <c r="D20" s="306"/>
      <c r="E20" s="307"/>
      <c r="F20" s="36">
        <f t="shared" si="5"/>
        <v>0</v>
      </c>
      <c r="G20" s="36">
        <f t="shared" si="4"/>
        <v>0</v>
      </c>
      <c r="H20" s="36">
        <f t="shared" si="6"/>
        <v>0</v>
      </c>
      <c r="I20" s="36">
        <f t="shared" si="7"/>
        <v>0</v>
      </c>
    </row>
    <row r="21" spans="1:9" s="31" customFormat="1" x14ac:dyDescent="0.3">
      <c r="A21" s="305"/>
      <c r="B21" s="308"/>
      <c r="C21" s="306"/>
      <c r="D21" s="306"/>
      <c r="E21" s="307"/>
      <c r="F21" s="36">
        <f t="shared" si="5"/>
        <v>0</v>
      </c>
      <c r="G21" s="36">
        <f t="shared" si="4"/>
        <v>0</v>
      </c>
      <c r="H21" s="36">
        <f t="shared" si="6"/>
        <v>0</v>
      </c>
      <c r="I21" s="36">
        <f t="shared" si="7"/>
        <v>0</v>
      </c>
    </row>
    <row r="22" spans="1:9" s="31" customFormat="1" x14ac:dyDescent="0.3">
      <c r="A22" s="305"/>
      <c r="B22" s="308"/>
      <c r="C22" s="306"/>
      <c r="D22" s="306"/>
      <c r="E22" s="307"/>
      <c r="F22" s="36">
        <f t="shared" si="5"/>
        <v>0</v>
      </c>
      <c r="G22" s="36">
        <f t="shared" si="4"/>
        <v>0</v>
      </c>
      <c r="H22" s="36">
        <f t="shared" si="6"/>
        <v>0</v>
      </c>
      <c r="I22" s="36">
        <f t="shared" si="7"/>
        <v>0</v>
      </c>
    </row>
    <row r="23" spans="1:9" s="31" customFormat="1" x14ac:dyDescent="0.3">
      <c r="A23" s="305"/>
      <c r="B23" s="308"/>
      <c r="C23" s="306"/>
      <c r="D23" s="306"/>
      <c r="E23" s="307"/>
      <c r="F23" s="36">
        <f t="shared" si="5"/>
        <v>0</v>
      </c>
      <c r="G23" s="36">
        <f t="shared" si="4"/>
        <v>0</v>
      </c>
      <c r="H23" s="36">
        <f t="shared" si="6"/>
        <v>0</v>
      </c>
      <c r="I23" s="36">
        <f t="shared" si="7"/>
        <v>0</v>
      </c>
    </row>
    <row r="24" spans="1:9" s="31" customFormat="1" x14ac:dyDescent="0.3">
      <c r="A24" s="305"/>
      <c r="B24" s="308"/>
      <c r="C24" s="306"/>
      <c r="D24" s="306"/>
      <c r="E24" s="307"/>
      <c r="F24" s="36">
        <f t="shared" si="5"/>
        <v>0</v>
      </c>
      <c r="G24" s="36">
        <f t="shared" si="4"/>
        <v>0</v>
      </c>
      <c r="H24" s="36">
        <f t="shared" si="6"/>
        <v>0</v>
      </c>
      <c r="I24" s="36">
        <f t="shared" si="7"/>
        <v>0</v>
      </c>
    </row>
    <row r="25" spans="1:9" s="31" customFormat="1" x14ac:dyDescent="0.3">
      <c r="A25" s="305"/>
      <c r="B25" s="308"/>
      <c r="C25" s="306"/>
      <c r="D25" s="306"/>
      <c r="E25" s="307"/>
      <c r="F25" s="36">
        <f t="shared" si="5"/>
        <v>0</v>
      </c>
      <c r="G25" s="36">
        <f t="shared" si="4"/>
        <v>0</v>
      </c>
      <c r="H25" s="36">
        <f t="shared" si="6"/>
        <v>0</v>
      </c>
      <c r="I25" s="36">
        <f t="shared" si="7"/>
        <v>0</v>
      </c>
    </row>
    <row r="26" spans="1:9" s="31" customFormat="1" x14ac:dyDescent="0.3">
      <c r="A26" s="305"/>
      <c r="B26" s="308"/>
      <c r="C26" s="306"/>
      <c r="D26" s="306"/>
      <c r="E26" s="307"/>
      <c r="F26" s="36">
        <f t="shared" si="5"/>
        <v>0</v>
      </c>
      <c r="G26" s="36">
        <f t="shared" si="4"/>
        <v>0</v>
      </c>
      <c r="H26" s="36">
        <f t="shared" si="6"/>
        <v>0</v>
      </c>
      <c r="I26" s="36">
        <f t="shared" si="7"/>
        <v>0</v>
      </c>
    </row>
    <row r="27" spans="1:9" s="31" customFormat="1" x14ac:dyDescent="0.3">
      <c r="A27" s="305"/>
      <c r="B27" s="308"/>
      <c r="C27" s="306"/>
      <c r="D27" s="306"/>
      <c r="E27" s="307"/>
      <c r="F27" s="36">
        <f t="shared" si="5"/>
        <v>0</v>
      </c>
      <c r="G27" s="36">
        <f t="shared" si="4"/>
        <v>0</v>
      </c>
      <c r="H27" s="36">
        <f t="shared" si="6"/>
        <v>0</v>
      </c>
      <c r="I27" s="36">
        <f t="shared" si="7"/>
        <v>0</v>
      </c>
    </row>
    <row r="28" spans="1:9" s="31" customFormat="1" x14ac:dyDescent="0.3">
      <c r="A28" s="305"/>
      <c r="B28" s="308"/>
      <c r="C28" s="306"/>
      <c r="D28" s="306"/>
      <c r="E28" s="307"/>
      <c r="F28" s="36">
        <f t="shared" si="5"/>
        <v>0</v>
      </c>
      <c r="G28" s="36">
        <f t="shared" si="4"/>
        <v>0</v>
      </c>
      <c r="H28" s="36">
        <f t="shared" si="6"/>
        <v>0</v>
      </c>
      <c r="I28" s="36">
        <f t="shared" si="7"/>
        <v>0</v>
      </c>
    </row>
    <row r="29" spans="1:9" s="31" customFormat="1" x14ac:dyDescent="0.3">
      <c r="A29" s="305"/>
      <c r="B29" s="308"/>
      <c r="C29" s="306"/>
      <c r="D29" s="306"/>
      <c r="E29" s="307"/>
      <c r="F29" s="36">
        <f t="shared" si="5"/>
        <v>0</v>
      </c>
      <c r="G29" s="36">
        <f t="shared" si="4"/>
        <v>0</v>
      </c>
      <c r="H29" s="36">
        <f t="shared" si="6"/>
        <v>0</v>
      </c>
      <c r="I29" s="36">
        <f t="shared" si="7"/>
        <v>0</v>
      </c>
    </row>
    <row r="30" spans="1:9" s="31" customFormat="1" x14ac:dyDescent="0.3">
      <c r="A30" s="305"/>
      <c r="B30" s="308"/>
      <c r="C30" s="306"/>
      <c r="D30" s="306"/>
      <c r="E30" s="307"/>
      <c r="F30" s="36">
        <f t="shared" si="5"/>
        <v>0</v>
      </c>
      <c r="G30" s="36">
        <f t="shared" si="4"/>
        <v>0</v>
      </c>
      <c r="H30" s="36">
        <f t="shared" si="6"/>
        <v>0</v>
      </c>
      <c r="I30" s="36">
        <f t="shared" si="7"/>
        <v>0</v>
      </c>
    </row>
    <row r="31" spans="1:9" s="31" customFormat="1" x14ac:dyDescent="0.3">
      <c r="A31" s="305"/>
      <c r="B31" s="308"/>
      <c r="C31" s="306"/>
      <c r="D31" s="306"/>
      <c r="E31" s="307"/>
      <c r="F31" s="36">
        <f t="shared" si="5"/>
        <v>0</v>
      </c>
      <c r="G31" s="36">
        <f t="shared" si="4"/>
        <v>0</v>
      </c>
      <c r="H31" s="36">
        <f t="shared" si="6"/>
        <v>0</v>
      </c>
      <c r="I31" s="36">
        <f t="shared" si="7"/>
        <v>0</v>
      </c>
    </row>
    <row r="32" spans="1:9" s="31" customFormat="1" x14ac:dyDescent="0.3">
      <c r="A32" s="305"/>
      <c r="B32" s="308"/>
      <c r="C32" s="306"/>
      <c r="D32" s="306"/>
      <c r="E32" s="307"/>
      <c r="F32" s="36">
        <f t="shared" si="5"/>
        <v>0</v>
      </c>
      <c r="G32" s="36">
        <f t="shared" si="4"/>
        <v>0</v>
      </c>
      <c r="H32" s="36">
        <f t="shared" si="6"/>
        <v>0</v>
      </c>
      <c r="I32" s="36">
        <f t="shared" si="7"/>
        <v>0</v>
      </c>
    </row>
    <row r="33" spans="1:15" s="31" customFormat="1" x14ac:dyDescent="0.3">
      <c r="A33" s="305"/>
      <c r="B33" s="308"/>
      <c r="C33" s="306"/>
      <c r="D33" s="306"/>
      <c r="E33" s="307"/>
      <c r="F33" s="36">
        <f t="shared" si="5"/>
        <v>0</v>
      </c>
      <c r="G33" s="36">
        <f t="shared" si="4"/>
        <v>0</v>
      </c>
      <c r="H33" s="36">
        <f t="shared" si="6"/>
        <v>0</v>
      </c>
      <c r="I33" s="36">
        <f t="shared" si="7"/>
        <v>0</v>
      </c>
    </row>
    <row r="34" spans="1:15" s="31" customFormat="1" x14ac:dyDescent="0.3">
      <c r="A34" s="305"/>
      <c r="B34" s="308"/>
      <c r="C34" s="306"/>
      <c r="D34" s="306"/>
      <c r="E34" s="307"/>
      <c r="F34" s="36">
        <f t="shared" si="5"/>
        <v>0</v>
      </c>
      <c r="G34" s="36">
        <f t="shared" si="4"/>
        <v>0</v>
      </c>
      <c r="H34" s="36">
        <f t="shared" si="6"/>
        <v>0</v>
      </c>
      <c r="I34" s="36">
        <f t="shared" si="7"/>
        <v>0</v>
      </c>
    </row>
    <row r="35" spans="1:15" s="31" customFormat="1" x14ac:dyDescent="0.3">
      <c r="A35" s="305"/>
      <c r="B35" s="308"/>
      <c r="C35" s="306"/>
      <c r="D35" s="306"/>
      <c r="E35" s="307"/>
      <c r="F35" s="36">
        <f t="shared" ref="F35:F40" si="8">C35*E35</f>
        <v>0</v>
      </c>
      <c r="G35" s="36">
        <f t="shared" si="4"/>
        <v>0</v>
      </c>
      <c r="H35" s="36">
        <f t="shared" ref="H35:H40" si="9">C35*G35</f>
        <v>0</v>
      </c>
      <c r="I35" s="36">
        <f t="shared" ref="I35:I40" si="10">IF(OR($P$15=0,$P$15=""),H35*1,H35*(1+$P$15))</f>
        <v>0</v>
      </c>
    </row>
    <row r="36" spans="1:15" s="31" customFormat="1" x14ac:dyDescent="0.3">
      <c r="A36" s="305"/>
      <c r="B36" s="308"/>
      <c r="C36" s="306"/>
      <c r="D36" s="306"/>
      <c r="E36" s="307"/>
      <c r="F36" s="36">
        <f t="shared" si="8"/>
        <v>0</v>
      </c>
      <c r="G36" s="36">
        <f t="shared" si="4"/>
        <v>0</v>
      </c>
      <c r="H36" s="36">
        <f t="shared" si="9"/>
        <v>0</v>
      </c>
      <c r="I36" s="36">
        <f t="shared" si="10"/>
        <v>0</v>
      </c>
    </row>
    <row r="37" spans="1:15" s="31" customFormat="1" x14ac:dyDescent="0.3">
      <c r="A37" s="103"/>
      <c r="B37" s="294"/>
      <c r="C37" s="104"/>
      <c r="D37" s="104"/>
      <c r="E37" s="105"/>
      <c r="F37" s="36">
        <f t="shared" si="8"/>
        <v>0</v>
      </c>
      <c r="G37" s="36">
        <f t="shared" si="4"/>
        <v>0</v>
      </c>
      <c r="H37" s="36">
        <f t="shared" si="9"/>
        <v>0</v>
      </c>
      <c r="I37" s="36">
        <f t="shared" si="10"/>
        <v>0</v>
      </c>
    </row>
    <row r="38" spans="1:15" s="31" customFormat="1" x14ac:dyDescent="0.3">
      <c r="A38" s="103"/>
      <c r="B38" s="294"/>
      <c r="C38" s="104"/>
      <c r="D38" s="104"/>
      <c r="E38" s="105"/>
      <c r="F38" s="36">
        <f t="shared" si="8"/>
        <v>0</v>
      </c>
      <c r="G38" s="36">
        <f t="shared" si="4"/>
        <v>0</v>
      </c>
      <c r="H38" s="36">
        <f t="shared" si="9"/>
        <v>0</v>
      </c>
      <c r="I38" s="36">
        <f t="shared" si="10"/>
        <v>0</v>
      </c>
    </row>
    <row r="39" spans="1:15" s="31" customFormat="1" x14ac:dyDescent="0.3">
      <c r="A39" s="103"/>
      <c r="B39" s="294"/>
      <c r="C39" s="104"/>
      <c r="D39" s="104"/>
      <c r="E39" s="105"/>
      <c r="F39" s="36">
        <f t="shared" si="8"/>
        <v>0</v>
      </c>
      <c r="G39" s="36">
        <f t="shared" si="4"/>
        <v>0</v>
      </c>
      <c r="H39" s="36">
        <f t="shared" si="9"/>
        <v>0</v>
      </c>
      <c r="I39" s="36">
        <f t="shared" si="10"/>
        <v>0</v>
      </c>
    </row>
    <row r="40" spans="1:15" s="31" customFormat="1" x14ac:dyDescent="0.3">
      <c r="A40" s="207"/>
      <c r="B40" s="296"/>
      <c r="C40" s="107"/>
      <c r="D40" s="107"/>
      <c r="E40" s="108"/>
      <c r="F40" s="36">
        <f t="shared" si="8"/>
        <v>0</v>
      </c>
      <c r="G40" s="36">
        <f t="shared" si="4"/>
        <v>0</v>
      </c>
      <c r="H40" s="36">
        <f t="shared" si="9"/>
        <v>0</v>
      </c>
      <c r="I40" s="36">
        <f t="shared" si="10"/>
        <v>0</v>
      </c>
      <c r="J40" s="56" t="s">
        <v>108</v>
      </c>
      <c r="K40" s="55" t="s">
        <v>109</v>
      </c>
    </row>
    <row r="41" spans="1:15" s="31" customFormat="1" x14ac:dyDescent="0.3">
      <c r="B41" s="99"/>
      <c r="D41" s="32"/>
      <c r="E41" s="36"/>
      <c r="F41" s="54">
        <f>SUM(F15:F40)</f>
        <v>5000</v>
      </c>
      <c r="G41" s="54">
        <f>SUM(G15:G40)</f>
        <v>6000</v>
      </c>
      <c r="H41" s="54">
        <f>SUM(H15:H40)</f>
        <v>6000</v>
      </c>
      <c r="I41" s="54">
        <f>SUM(I15:I40)</f>
        <v>6000</v>
      </c>
      <c r="J41" s="54">
        <f>F41</f>
        <v>5000</v>
      </c>
      <c r="K41" s="34">
        <f>I41</f>
        <v>6000</v>
      </c>
      <c r="L41" s="155">
        <f>IF(F41=0,0,(I41-F41)/F41)</f>
        <v>0.2</v>
      </c>
      <c r="M41" s="120">
        <f>SUM(I15:I40)-SUM(F15:F40)</f>
        <v>1000</v>
      </c>
      <c r="N41" s="86"/>
    </row>
    <row r="42" spans="1:15" ht="15.6" x14ac:dyDescent="0.3">
      <c r="A42" s="261" t="str">
        <f>'Installation 1'!B60</f>
        <v>14,800m of 560 PN6.3 PE100 SDR26.</v>
      </c>
      <c r="B42" s="293"/>
      <c r="C42" s="112"/>
      <c r="D42" s="113"/>
      <c r="E42" s="112"/>
      <c r="F42" s="112"/>
      <c r="G42" s="112"/>
      <c r="H42" s="112"/>
      <c r="I42" s="112"/>
      <c r="J42" s="112"/>
      <c r="K42" s="112"/>
      <c r="L42" s="112"/>
      <c r="M42" s="112"/>
      <c r="O42"/>
    </row>
    <row r="43" spans="1:15" s="31" customFormat="1" ht="27.6" x14ac:dyDescent="0.3">
      <c r="A43" s="47" t="s">
        <v>184</v>
      </c>
      <c r="B43" s="290" t="s">
        <v>185</v>
      </c>
      <c r="C43" s="74" t="s">
        <v>47</v>
      </c>
      <c r="D43" s="74" t="s">
        <v>186</v>
      </c>
      <c r="E43" s="75" t="s">
        <v>193</v>
      </c>
      <c r="F43" s="48" t="s">
        <v>22</v>
      </c>
      <c r="G43" s="49" t="s">
        <v>194</v>
      </c>
      <c r="H43" s="49" t="s">
        <v>23</v>
      </c>
      <c r="I43" s="50" t="s">
        <v>100</v>
      </c>
    </row>
    <row r="44" spans="1:15" s="31" customFormat="1" x14ac:dyDescent="0.3">
      <c r="A44" s="305" t="s">
        <v>190</v>
      </c>
      <c r="B44" s="308" t="s">
        <v>196</v>
      </c>
      <c r="C44" s="306">
        <v>1</v>
      </c>
      <c r="D44" s="306" t="s">
        <v>57</v>
      </c>
      <c r="E44" s="307">
        <v>2500</v>
      </c>
      <c r="F44" s="36">
        <f>C44*E44</f>
        <v>2500</v>
      </c>
      <c r="G44" s="36">
        <f t="shared" ref="G44:G53" si="11">IF(A44="",0,E44*(1+VLOOKUP(A44,$O$5:$P$9,2,FALSE)))</f>
        <v>3000</v>
      </c>
      <c r="H44" s="36">
        <f>C44*G44</f>
        <v>3000</v>
      </c>
      <c r="I44" s="36">
        <f>IF(OR($P$15=0,$P$15=""),H44*1,H44*(1+$P$15))</f>
        <v>3000</v>
      </c>
    </row>
    <row r="45" spans="1:15" s="31" customFormat="1" x14ac:dyDescent="0.3">
      <c r="A45" s="305" t="s">
        <v>190</v>
      </c>
      <c r="B45" s="308" t="s">
        <v>197</v>
      </c>
      <c r="C45" s="306">
        <v>1</v>
      </c>
      <c r="D45" s="306" t="s">
        <v>57</v>
      </c>
      <c r="E45" s="307">
        <v>2500</v>
      </c>
      <c r="F45" s="36">
        <f t="shared" ref="F45:F50" si="12">C45*E45</f>
        <v>2500</v>
      </c>
      <c r="G45" s="36">
        <f t="shared" si="11"/>
        <v>3000</v>
      </c>
      <c r="H45" s="36">
        <f t="shared" ref="H45:H50" si="13">C45*G45</f>
        <v>3000</v>
      </c>
      <c r="I45" s="36">
        <f t="shared" ref="I45:I50" si="14">IF(OR($P$15=0,$P$15=""),H45*1,H45*(1+$P$15))</f>
        <v>3000</v>
      </c>
    </row>
    <row r="46" spans="1:15" s="31" customFormat="1" x14ac:dyDescent="0.3">
      <c r="A46" s="103" t="s">
        <v>190</v>
      </c>
      <c r="B46" s="339" t="s">
        <v>198</v>
      </c>
      <c r="C46" s="139">
        <v>1</v>
      </c>
      <c r="D46" s="139" t="s">
        <v>57</v>
      </c>
      <c r="E46" s="105">
        <v>1500</v>
      </c>
      <c r="F46" s="36">
        <f t="shared" si="12"/>
        <v>1500</v>
      </c>
      <c r="G46" s="36">
        <f t="shared" si="11"/>
        <v>1800</v>
      </c>
      <c r="H46" s="36">
        <f t="shared" si="13"/>
        <v>1800</v>
      </c>
      <c r="I46" s="36">
        <f t="shared" si="14"/>
        <v>1800</v>
      </c>
    </row>
    <row r="47" spans="1:15" s="31" customFormat="1" x14ac:dyDescent="0.3">
      <c r="A47" s="355" t="s">
        <v>191</v>
      </c>
      <c r="B47" s="351" t="s">
        <v>199</v>
      </c>
      <c r="C47" s="356">
        <v>1</v>
      </c>
      <c r="D47" s="356" t="s">
        <v>57</v>
      </c>
      <c r="E47" s="357">
        <v>100000</v>
      </c>
      <c r="F47" s="358">
        <f t="shared" si="12"/>
        <v>100000</v>
      </c>
      <c r="G47" s="358">
        <f t="shared" si="11"/>
        <v>600000</v>
      </c>
      <c r="H47" s="358">
        <f t="shared" si="13"/>
        <v>600000</v>
      </c>
      <c r="I47" s="358">
        <v>605658</v>
      </c>
      <c r="K47" s="96"/>
    </row>
    <row r="48" spans="1:15" s="31" customFormat="1" x14ac:dyDescent="0.3">
      <c r="A48" s="305"/>
      <c r="B48" s="308"/>
      <c r="C48" s="306"/>
      <c r="D48" s="306"/>
      <c r="E48" s="307"/>
      <c r="F48" s="36">
        <f t="shared" si="12"/>
        <v>0</v>
      </c>
      <c r="G48" s="36">
        <f t="shared" si="11"/>
        <v>0</v>
      </c>
      <c r="H48" s="36">
        <f t="shared" si="13"/>
        <v>0</v>
      </c>
      <c r="I48" s="36">
        <f t="shared" si="14"/>
        <v>0</v>
      </c>
    </row>
    <row r="49" spans="1:16" s="31" customFormat="1" x14ac:dyDescent="0.3">
      <c r="A49" s="305"/>
      <c r="B49" s="308"/>
      <c r="C49" s="306"/>
      <c r="D49" s="306"/>
      <c r="E49" s="307"/>
      <c r="F49" s="36">
        <f t="shared" si="12"/>
        <v>0</v>
      </c>
      <c r="G49" s="36">
        <f t="shared" si="11"/>
        <v>0</v>
      </c>
      <c r="H49" s="36">
        <f t="shared" si="13"/>
        <v>0</v>
      </c>
      <c r="I49" s="36">
        <f t="shared" si="14"/>
        <v>0</v>
      </c>
    </row>
    <row r="50" spans="1:16" s="31" customFormat="1" x14ac:dyDescent="0.3">
      <c r="A50" s="103"/>
      <c r="B50" s="303"/>
      <c r="C50" s="101"/>
      <c r="D50" s="101"/>
      <c r="E50" s="105"/>
      <c r="F50" s="36">
        <f t="shared" si="12"/>
        <v>0</v>
      </c>
      <c r="G50" s="36">
        <f t="shared" si="11"/>
        <v>0</v>
      </c>
      <c r="H50" s="36">
        <f t="shared" si="13"/>
        <v>0</v>
      </c>
      <c r="I50" s="36">
        <f t="shared" si="14"/>
        <v>0</v>
      </c>
    </row>
    <row r="51" spans="1:16" s="31" customFormat="1" x14ac:dyDescent="0.3">
      <c r="A51" s="103"/>
      <c r="B51" s="294"/>
      <c r="C51" s="104"/>
      <c r="D51" s="104"/>
      <c r="E51" s="105"/>
      <c r="F51" s="36">
        <f>C51*E51</f>
        <v>0</v>
      </c>
      <c r="G51" s="36">
        <f t="shared" si="11"/>
        <v>0</v>
      </c>
      <c r="H51" s="36">
        <f>C51*G51</f>
        <v>0</v>
      </c>
      <c r="I51" s="36">
        <f>IF(OR($P$15=0,$P$15=""),H51*1,H51*(1+$P$15))</f>
        <v>0</v>
      </c>
    </row>
    <row r="52" spans="1:16" s="31" customFormat="1" x14ac:dyDescent="0.3">
      <c r="A52" s="103"/>
      <c r="B52" s="294"/>
      <c r="C52" s="104"/>
      <c r="D52" s="104"/>
      <c r="E52" s="105"/>
      <c r="F52" s="36">
        <f>C52*E52</f>
        <v>0</v>
      </c>
      <c r="G52" s="36">
        <f t="shared" si="11"/>
        <v>0</v>
      </c>
      <c r="H52" s="36">
        <f>C52*G52</f>
        <v>0</v>
      </c>
      <c r="I52" s="36">
        <f>IF(OR($P$15=0,$P$15=""),H52*1,H52*(1+$P$15))</f>
        <v>0</v>
      </c>
    </row>
    <row r="53" spans="1:16" s="31" customFormat="1" x14ac:dyDescent="0.3">
      <c r="A53" s="106"/>
      <c r="B53" s="296"/>
      <c r="C53" s="107"/>
      <c r="D53" s="107"/>
      <c r="E53" s="108"/>
      <c r="F53" s="36">
        <f>C53*E53</f>
        <v>0</v>
      </c>
      <c r="G53" s="36">
        <f t="shared" si="11"/>
        <v>0</v>
      </c>
      <c r="H53" s="36">
        <f>C53*G53</f>
        <v>0</v>
      </c>
      <c r="I53" s="36">
        <f>IF(OR($P$15=0,$P$15=""),H53*1,H53*(1+$P$15))</f>
        <v>0</v>
      </c>
      <c r="J53" s="56" t="s">
        <v>108</v>
      </c>
      <c r="K53" s="55" t="s">
        <v>109</v>
      </c>
    </row>
    <row r="54" spans="1:16" s="31" customFormat="1" x14ac:dyDescent="0.3">
      <c r="B54" s="99"/>
      <c r="D54" s="32"/>
      <c r="E54" s="36"/>
      <c r="F54" s="54">
        <f>SUM(F44:F53)</f>
        <v>106500</v>
      </c>
      <c r="G54" s="54">
        <f>SUM(G44:G53)</f>
        <v>607800</v>
      </c>
      <c r="H54" s="54">
        <f>SUM(H44:H53)</f>
        <v>607800</v>
      </c>
      <c r="I54" s="54">
        <f>SUM(I44:I53)</f>
        <v>613458</v>
      </c>
      <c r="J54" s="54">
        <f>F54</f>
        <v>106500</v>
      </c>
      <c r="K54" s="34">
        <f>I54</f>
        <v>613458</v>
      </c>
      <c r="L54" s="155">
        <f>IF(F54=0,0,(I54-F54)/F54)</f>
        <v>4.7601690140845072</v>
      </c>
      <c r="M54" s="120">
        <f>SUM(I44:I53)-SUM(F44:F53)</f>
        <v>506958</v>
      </c>
      <c r="N54" s="86"/>
    </row>
    <row r="55" spans="1:16" ht="15.6" x14ac:dyDescent="0.3">
      <c r="A55" s="261" t="str">
        <f>'Installation 1'!B88</f>
        <v>750m 0f 355 PN8 PE100 SDR17.</v>
      </c>
      <c r="B55" s="293"/>
      <c r="C55" s="112"/>
      <c r="D55" s="113"/>
      <c r="E55" s="112"/>
      <c r="F55" s="112"/>
      <c r="G55" s="112"/>
      <c r="H55" s="112"/>
      <c r="I55" s="112"/>
      <c r="J55" s="112"/>
      <c r="K55" s="112"/>
      <c r="L55" s="112"/>
      <c r="M55" s="112"/>
      <c r="O55"/>
    </row>
    <row r="56" spans="1:16" s="31" customFormat="1" ht="27.6" x14ac:dyDescent="0.3">
      <c r="A56" s="47" t="s">
        <v>184</v>
      </c>
      <c r="B56" s="290" t="s">
        <v>185</v>
      </c>
      <c r="C56" s="74" t="s">
        <v>47</v>
      </c>
      <c r="D56" s="74" t="s">
        <v>186</v>
      </c>
      <c r="E56" s="75" t="s">
        <v>193</v>
      </c>
      <c r="F56" s="48" t="s">
        <v>22</v>
      </c>
      <c r="G56" s="49" t="s">
        <v>194</v>
      </c>
      <c r="H56" s="49" t="s">
        <v>23</v>
      </c>
      <c r="I56" s="50" t="s">
        <v>100</v>
      </c>
    </row>
    <row r="57" spans="1:16" s="31" customFormat="1" x14ac:dyDescent="0.3">
      <c r="A57" s="305" t="s">
        <v>190</v>
      </c>
      <c r="B57" s="308" t="s">
        <v>196</v>
      </c>
      <c r="C57" s="306">
        <v>1</v>
      </c>
      <c r="D57" s="306" t="s">
        <v>57</v>
      </c>
      <c r="E57" s="307">
        <v>1500</v>
      </c>
      <c r="F57" s="36">
        <f t="shared" ref="F57:F71" si="15">C57*E57</f>
        <v>1500</v>
      </c>
      <c r="G57" s="36">
        <f t="shared" ref="G57:G71" si="16">IF(A57="",0,E57*(1+VLOOKUP(A57,$O$5:$P$9,2,FALSE)))</f>
        <v>1800</v>
      </c>
      <c r="H57" s="36">
        <f t="shared" ref="H57:H71" si="17">C57*G57</f>
        <v>1800</v>
      </c>
      <c r="I57" s="36">
        <f t="shared" ref="I57:I71" si="18">IF(OR($P$15=0,$P$15=""),H57*1,H57*(1+$P$15))</f>
        <v>1800</v>
      </c>
      <c r="P57" s="96"/>
    </row>
    <row r="58" spans="1:16" s="31" customFormat="1" x14ac:dyDescent="0.3">
      <c r="A58" s="305" t="s">
        <v>190</v>
      </c>
      <c r="B58" s="308" t="s">
        <v>197</v>
      </c>
      <c r="C58" s="306">
        <v>1</v>
      </c>
      <c r="D58" s="306" t="s">
        <v>57</v>
      </c>
      <c r="E58" s="307">
        <v>1500</v>
      </c>
      <c r="F58" s="36">
        <f t="shared" si="15"/>
        <v>1500</v>
      </c>
      <c r="G58" s="36">
        <f t="shared" si="16"/>
        <v>1800</v>
      </c>
      <c r="H58" s="36">
        <f t="shared" si="17"/>
        <v>1800</v>
      </c>
      <c r="I58" s="36">
        <f t="shared" si="18"/>
        <v>1800</v>
      </c>
    </row>
    <row r="59" spans="1:16" s="31" customFormat="1" x14ac:dyDescent="0.3">
      <c r="A59" s="103" t="s">
        <v>190</v>
      </c>
      <c r="B59" s="339" t="s">
        <v>198</v>
      </c>
      <c r="C59" s="139">
        <v>1</v>
      </c>
      <c r="D59" s="139" t="s">
        <v>57</v>
      </c>
      <c r="E59" s="105">
        <v>500</v>
      </c>
      <c r="F59" s="36">
        <f t="shared" si="15"/>
        <v>500</v>
      </c>
      <c r="G59" s="36">
        <f t="shared" si="16"/>
        <v>600</v>
      </c>
      <c r="H59" s="36">
        <f t="shared" si="17"/>
        <v>600</v>
      </c>
      <c r="I59" s="36">
        <f t="shared" si="18"/>
        <v>600</v>
      </c>
      <c r="K59" s="96"/>
    </row>
    <row r="60" spans="1:16" s="31" customFormat="1" x14ac:dyDescent="0.3">
      <c r="A60" s="103"/>
      <c r="B60" s="295"/>
      <c r="C60" s="139"/>
      <c r="D60" s="139"/>
      <c r="E60" s="105"/>
      <c r="F60" s="36">
        <f t="shared" si="15"/>
        <v>0</v>
      </c>
      <c r="G60" s="36">
        <f t="shared" si="16"/>
        <v>0</v>
      </c>
      <c r="H60" s="36">
        <f t="shared" si="17"/>
        <v>0</v>
      </c>
      <c r="I60" s="36">
        <f t="shared" si="18"/>
        <v>0</v>
      </c>
    </row>
    <row r="61" spans="1:16" s="31" customFormat="1" x14ac:dyDescent="0.3">
      <c r="A61" s="103"/>
      <c r="B61" s="295"/>
      <c r="C61" s="139"/>
      <c r="D61" s="139"/>
      <c r="E61" s="105"/>
      <c r="F61" s="36">
        <f t="shared" si="15"/>
        <v>0</v>
      </c>
      <c r="G61" s="36">
        <f t="shared" si="16"/>
        <v>0</v>
      </c>
      <c r="H61" s="36">
        <f t="shared" si="17"/>
        <v>0</v>
      </c>
      <c r="I61" s="36">
        <f t="shared" si="18"/>
        <v>0</v>
      </c>
      <c r="O61" s="326">
        <f>F64+F63+F62+F61+F60+F59</f>
        <v>500</v>
      </c>
    </row>
    <row r="62" spans="1:16" s="31" customFormat="1" x14ac:dyDescent="0.3">
      <c r="A62" s="103"/>
      <c r="B62" s="339"/>
      <c r="C62" s="139"/>
      <c r="D62" s="139"/>
      <c r="E62" s="105"/>
      <c r="F62" s="36">
        <f t="shared" si="15"/>
        <v>0</v>
      </c>
      <c r="G62" s="36">
        <f>IF(A62="",0,E62*(1+VLOOKUP(A62,$O$5:$P$9,2,FALSE)))</f>
        <v>0</v>
      </c>
      <c r="H62" s="36">
        <f t="shared" si="17"/>
        <v>0</v>
      </c>
      <c r="I62" s="36">
        <f t="shared" si="18"/>
        <v>0</v>
      </c>
    </row>
    <row r="63" spans="1:16" s="31" customFormat="1" x14ac:dyDescent="0.3">
      <c r="A63" s="103"/>
      <c r="B63" s="295"/>
      <c r="C63" s="139"/>
      <c r="D63" s="139"/>
      <c r="E63" s="105"/>
      <c r="F63" s="36">
        <f t="shared" si="15"/>
        <v>0</v>
      </c>
      <c r="G63" s="36">
        <f>IF(A63="",0,E63*(1+VLOOKUP(A63,$O$5:$P$9,2,FALSE)))</f>
        <v>0</v>
      </c>
      <c r="H63" s="36">
        <f t="shared" si="17"/>
        <v>0</v>
      </c>
      <c r="I63" s="36">
        <f t="shared" si="18"/>
        <v>0</v>
      </c>
    </row>
    <row r="64" spans="1:16" s="31" customFormat="1" x14ac:dyDescent="0.3">
      <c r="A64" s="103"/>
      <c r="B64" s="294"/>
      <c r="C64" s="104"/>
      <c r="D64" s="104"/>
      <c r="E64" s="105"/>
      <c r="F64" s="36">
        <f t="shared" si="15"/>
        <v>0</v>
      </c>
      <c r="G64" s="36">
        <f>IF(A64="",0,E64*(1+VLOOKUP(A64,$O$5:$P$9,2,FALSE)))</f>
        <v>0</v>
      </c>
      <c r="H64" s="36">
        <f t="shared" si="17"/>
        <v>0</v>
      </c>
      <c r="I64" s="36">
        <f t="shared" si="18"/>
        <v>0</v>
      </c>
    </row>
    <row r="65" spans="1:15" s="31" customFormat="1" x14ac:dyDescent="0.3">
      <c r="A65" s="103"/>
      <c r="B65" s="294"/>
      <c r="C65" s="104"/>
      <c r="D65" s="104"/>
      <c r="E65" s="105"/>
      <c r="F65" s="36">
        <f t="shared" si="15"/>
        <v>0</v>
      </c>
      <c r="G65" s="36">
        <f>IF(A65="",0,E65*(1+VLOOKUP(A65,$O$5:$P$9,2,FALSE)))</f>
        <v>0</v>
      </c>
      <c r="H65" s="36">
        <f t="shared" si="17"/>
        <v>0</v>
      </c>
      <c r="I65" s="36">
        <f t="shared" si="18"/>
        <v>0</v>
      </c>
    </row>
    <row r="66" spans="1:15" s="31" customFormat="1" x14ac:dyDescent="0.3">
      <c r="A66" s="103"/>
      <c r="B66" s="294"/>
      <c r="C66" s="104"/>
      <c r="D66" s="104"/>
      <c r="E66" s="105"/>
      <c r="F66" s="36">
        <f t="shared" si="15"/>
        <v>0</v>
      </c>
      <c r="G66" s="36">
        <f t="shared" si="16"/>
        <v>0</v>
      </c>
      <c r="H66" s="36">
        <f t="shared" si="17"/>
        <v>0</v>
      </c>
      <c r="I66" s="36">
        <f t="shared" si="18"/>
        <v>0</v>
      </c>
    </row>
    <row r="67" spans="1:15" s="31" customFormat="1" x14ac:dyDescent="0.3">
      <c r="A67" s="103"/>
      <c r="B67" s="294"/>
      <c r="C67" s="104"/>
      <c r="D67" s="104"/>
      <c r="E67" s="105"/>
      <c r="F67" s="36">
        <f t="shared" si="15"/>
        <v>0</v>
      </c>
      <c r="G67" s="36">
        <f t="shared" si="16"/>
        <v>0</v>
      </c>
      <c r="H67" s="36">
        <f t="shared" si="17"/>
        <v>0</v>
      </c>
      <c r="I67" s="36">
        <f t="shared" si="18"/>
        <v>0</v>
      </c>
      <c r="K67" s="96"/>
    </row>
    <row r="68" spans="1:15" s="31" customFormat="1" x14ac:dyDescent="0.3">
      <c r="A68" s="103"/>
      <c r="B68" s="294"/>
      <c r="C68" s="104"/>
      <c r="D68" s="104"/>
      <c r="E68" s="105"/>
      <c r="F68" s="36">
        <f t="shared" si="15"/>
        <v>0</v>
      </c>
      <c r="G68" s="36">
        <f t="shared" si="16"/>
        <v>0</v>
      </c>
      <c r="H68" s="36">
        <f t="shared" si="17"/>
        <v>0</v>
      </c>
      <c r="I68" s="36">
        <f t="shared" si="18"/>
        <v>0</v>
      </c>
      <c r="O68" s="333">
        <f>F68+F67</f>
        <v>0</v>
      </c>
    </row>
    <row r="69" spans="1:15" s="31" customFormat="1" x14ac:dyDescent="0.3">
      <c r="A69" s="103"/>
      <c r="B69" s="294"/>
      <c r="C69" s="104"/>
      <c r="D69" s="104"/>
      <c r="E69" s="105"/>
      <c r="F69" s="36">
        <f t="shared" si="15"/>
        <v>0</v>
      </c>
      <c r="G69" s="36">
        <f t="shared" si="16"/>
        <v>0</v>
      </c>
      <c r="H69" s="36">
        <f t="shared" si="17"/>
        <v>0</v>
      </c>
      <c r="I69" s="36">
        <f t="shared" si="18"/>
        <v>0</v>
      </c>
    </row>
    <row r="70" spans="1:15" s="31" customFormat="1" x14ac:dyDescent="0.3">
      <c r="A70" s="103"/>
      <c r="B70" s="294"/>
      <c r="C70" s="104"/>
      <c r="D70" s="104"/>
      <c r="E70" s="105"/>
      <c r="F70" s="36">
        <f t="shared" si="15"/>
        <v>0</v>
      </c>
      <c r="G70" s="36">
        <f t="shared" si="16"/>
        <v>0</v>
      </c>
      <c r="H70" s="36">
        <f t="shared" si="17"/>
        <v>0</v>
      </c>
      <c r="I70" s="36">
        <f t="shared" si="18"/>
        <v>0</v>
      </c>
      <c r="J70" s="325">
        <f>F71+F70</f>
        <v>0</v>
      </c>
    </row>
    <row r="71" spans="1:15" s="31" customFormat="1" x14ac:dyDescent="0.3">
      <c r="A71" s="106"/>
      <c r="B71" s="296"/>
      <c r="C71" s="107"/>
      <c r="D71" s="107"/>
      <c r="E71" s="108"/>
      <c r="F71" s="36">
        <f t="shared" si="15"/>
        <v>0</v>
      </c>
      <c r="G71" s="36">
        <f t="shared" si="16"/>
        <v>0</v>
      </c>
      <c r="H71" s="36">
        <f t="shared" si="17"/>
        <v>0</v>
      </c>
      <c r="I71" s="36">
        <f t="shared" si="18"/>
        <v>0</v>
      </c>
      <c r="J71" s="56" t="s">
        <v>108</v>
      </c>
      <c r="K71" s="55" t="s">
        <v>109</v>
      </c>
    </row>
    <row r="72" spans="1:15" s="31" customFormat="1" x14ac:dyDescent="0.3">
      <c r="B72" s="99"/>
      <c r="D72" s="32"/>
      <c r="E72" s="36"/>
      <c r="F72" s="54">
        <f>SUM(F57:F71)</f>
        <v>3500</v>
      </c>
      <c r="G72" s="54">
        <f>SUM(G57:G71)</f>
        <v>4200</v>
      </c>
      <c r="H72" s="54">
        <f>SUM(H57:H71)</f>
        <v>4200</v>
      </c>
      <c r="I72" s="54">
        <f>SUM(I57:I71)</f>
        <v>4200</v>
      </c>
      <c r="J72" s="54">
        <f>F72</f>
        <v>3500</v>
      </c>
      <c r="K72" s="34">
        <f>I72</f>
        <v>4200</v>
      </c>
      <c r="L72" s="155">
        <f>IF(F72=0,0,(I72-F72)/F72)</f>
        <v>0.2</v>
      </c>
      <c r="M72" s="120">
        <f>SUM(I57:I71)-SUM(F57:F71)</f>
        <v>700</v>
      </c>
      <c r="N72" s="86"/>
    </row>
    <row r="73" spans="1:15" ht="15.6" x14ac:dyDescent="0.3">
      <c r="A73" s="261" t="str">
        <f>'Installation 1'!B116</f>
        <v>Road Crossings x 10</v>
      </c>
      <c r="B73" s="293"/>
      <c r="C73" s="112"/>
      <c r="D73" s="113"/>
      <c r="E73" s="112"/>
      <c r="F73" s="112"/>
      <c r="G73" s="112"/>
      <c r="H73" s="112"/>
      <c r="I73" s="112"/>
      <c r="J73" s="112"/>
      <c r="K73" s="112"/>
      <c r="L73" s="112"/>
      <c r="M73" s="112"/>
      <c r="O73"/>
    </row>
    <row r="74" spans="1:15" s="31" customFormat="1" ht="27.6" x14ac:dyDescent="0.3">
      <c r="A74" s="47" t="s">
        <v>184</v>
      </c>
      <c r="B74" s="290" t="s">
        <v>185</v>
      </c>
      <c r="C74" s="74" t="s">
        <v>47</v>
      </c>
      <c r="D74" s="74" t="s">
        <v>186</v>
      </c>
      <c r="E74" s="75" t="s">
        <v>193</v>
      </c>
      <c r="F74" s="48" t="s">
        <v>22</v>
      </c>
      <c r="G74" s="49" t="s">
        <v>194</v>
      </c>
      <c r="H74" s="49" t="s">
        <v>23</v>
      </c>
      <c r="I74" s="50" t="s">
        <v>100</v>
      </c>
      <c r="L74" s="48" t="s">
        <v>101</v>
      </c>
      <c r="M74" s="48" t="s">
        <v>0</v>
      </c>
    </row>
    <row r="75" spans="1:15" s="31" customFormat="1" x14ac:dyDescent="0.3">
      <c r="A75" s="305" t="s">
        <v>190</v>
      </c>
      <c r="B75" s="308" t="s">
        <v>200</v>
      </c>
      <c r="C75" s="306">
        <v>1</v>
      </c>
      <c r="D75" s="306" t="s">
        <v>57</v>
      </c>
      <c r="E75" s="105">
        <v>4500</v>
      </c>
      <c r="F75" s="36">
        <f>C75*E75</f>
        <v>4500</v>
      </c>
      <c r="G75" s="36">
        <f t="shared" ref="G75:G94" si="19">IF(A75="",0,E75*(1+VLOOKUP(A75,$O$5:$P$9,2,FALSE)))</f>
        <v>5400</v>
      </c>
      <c r="H75" s="36">
        <f>C75*G75</f>
        <v>5400</v>
      </c>
      <c r="I75" s="36">
        <f>IF(OR($P$15=0,$P$15=""),H75*1,H75*(1+$P$15))</f>
        <v>5400</v>
      </c>
    </row>
    <row r="76" spans="1:15" s="31" customFormat="1" x14ac:dyDescent="0.3">
      <c r="A76" s="305" t="s">
        <v>190</v>
      </c>
      <c r="B76" s="295" t="s">
        <v>201</v>
      </c>
      <c r="C76" s="139">
        <v>10</v>
      </c>
      <c r="D76" s="139" t="s">
        <v>57</v>
      </c>
      <c r="E76" s="105">
        <v>34.6</v>
      </c>
      <c r="F76" s="36">
        <f t="shared" ref="F76:F85" si="20">C76*E76</f>
        <v>346</v>
      </c>
      <c r="G76" s="36">
        <f t="shared" si="19"/>
        <v>41.52</v>
      </c>
      <c r="H76" s="36">
        <f t="shared" ref="H76:H85" si="21">C76*G76</f>
        <v>415.20000000000005</v>
      </c>
      <c r="I76" s="36">
        <f t="shared" ref="I76:I85" si="22">IF(OR($P$15=0,$P$15=""),H76*1,H76*(1+$P$15))</f>
        <v>415.20000000000005</v>
      </c>
    </row>
    <row r="77" spans="1:15" s="31" customFormat="1" x14ac:dyDescent="0.3">
      <c r="A77" s="305"/>
      <c r="B77" s="295"/>
      <c r="C77" s="139"/>
      <c r="D77" s="139"/>
      <c r="E77" s="105"/>
      <c r="F77" s="36">
        <f>C77*E77</f>
        <v>0</v>
      </c>
      <c r="G77" s="36">
        <f t="shared" si="19"/>
        <v>0</v>
      </c>
      <c r="H77" s="36">
        <f>C77*G77</f>
        <v>0</v>
      </c>
      <c r="I77" s="36">
        <f>IF(OR($P$15=0,$P$15=""),H77*1,H77*(1+$P$15))</f>
        <v>0</v>
      </c>
    </row>
    <row r="78" spans="1:15" s="31" customFormat="1" ht="14.4" x14ac:dyDescent="0.3">
      <c r="A78" s="305"/>
      <c r="B78" s="295"/>
      <c r="C78" s="139"/>
      <c r="D78" s="139"/>
      <c r="E78" s="105"/>
      <c r="F78" s="36">
        <f>C78*E78</f>
        <v>0</v>
      </c>
      <c r="G78" s="36">
        <f t="shared" si="19"/>
        <v>0</v>
      </c>
      <c r="H78" s="36">
        <f>C78*G78</f>
        <v>0</v>
      </c>
      <c r="I78" s="36">
        <f>IF(OR($P$15=0,$P$15=""),H78*1,H78*(1+$P$15))</f>
        <v>0</v>
      </c>
      <c r="K78" s="328"/>
    </row>
    <row r="79" spans="1:15" s="31" customFormat="1" x14ac:dyDescent="0.3">
      <c r="A79" s="305"/>
      <c r="B79" s="295"/>
      <c r="C79" s="139"/>
      <c r="D79" s="139"/>
      <c r="E79" s="105"/>
      <c r="F79" s="36">
        <f>C79*E79</f>
        <v>0</v>
      </c>
      <c r="G79" s="36">
        <f t="shared" si="19"/>
        <v>0</v>
      </c>
      <c r="H79" s="36">
        <f>C79*G79</f>
        <v>0</v>
      </c>
      <c r="I79" s="36">
        <f>IF(OR($P$15=0,$P$15=""),H79*1,H79*(1+$P$15))</f>
        <v>0</v>
      </c>
      <c r="K79" s="327"/>
    </row>
    <row r="80" spans="1:15" s="31" customFormat="1" x14ac:dyDescent="0.3">
      <c r="A80" s="305"/>
      <c r="B80" s="295"/>
      <c r="C80" s="139"/>
      <c r="D80" s="139"/>
      <c r="E80" s="105"/>
      <c r="F80" s="36">
        <f>C80*E80</f>
        <v>0</v>
      </c>
      <c r="G80" s="36">
        <f t="shared" si="19"/>
        <v>0</v>
      </c>
      <c r="H80" s="36">
        <f>C80*G80</f>
        <v>0</v>
      </c>
      <c r="I80" s="36">
        <f>IF(OR($P$15=0,$P$15=""),H80*1,H80*(1+$P$15))</f>
        <v>0</v>
      </c>
    </row>
    <row r="81" spans="1:15" s="31" customFormat="1" x14ac:dyDescent="0.3">
      <c r="A81" s="305"/>
      <c r="B81" s="295"/>
      <c r="C81" s="139"/>
      <c r="D81" s="139"/>
      <c r="E81" s="105"/>
      <c r="F81" s="36">
        <f>C81*E81</f>
        <v>0</v>
      </c>
      <c r="G81" s="36">
        <f t="shared" si="19"/>
        <v>0</v>
      </c>
      <c r="H81" s="36">
        <f>C81*G81</f>
        <v>0</v>
      </c>
      <c r="I81" s="36">
        <f>IF(OR($P$15=0,$P$15=""),H81*1,H81*(1+$P$15))</f>
        <v>0</v>
      </c>
    </row>
    <row r="82" spans="1:15" s="31" customFormat="1" x14ac:dyDescent="0.3">
      <c r="A82" s="305"/>
      <c r="B82" s="295"/>
      <c r="C82" s="139"/>
      <c r="D82" s="139"/>
      <c r="E82" s="105"/>
      <c r="F82" s="36">
        <f t="shared" si="20"/>
        <v>0</v>
      </c>
      <c r="G82" s="36">
        <f t="shared" si="19"/>
        <v>0</v>
      </c>
      <c r="H82" s="36">
        <f t="shared" si="21"/>
        <v>0</v>
      </c>
      <c r="I82" s="36">
        <f t="shared" si="22"/>
        <v>0</v>
      </c>
    </row>
    <row r="83" spans="1:15" s="31" customFormat="1" x14ac:dyDescent="0.3">
      <c r="A83" s="305"/>
      <c r="B83" s="295"/>
      <c r="C83" s="139"/>
      <c r="D83" s="139"/>
      <c r="E83" s="105"/>
      <c r="F83" s="36">
        <f t="shared" si="20"/>
        <v>0</v>
      </c>
      <c r="G83" s="36">
        <f t="shared" si="19"/>
        <v>0</v>
      </c>
      <c r="H83" s="36">
        <f t="shared" si="21"/>
        <v>0</v>
      </c>
      <c r="I83" s="36">
        <f t="shared" si="22"/>
        <v>0</v>
      </c>
    </row>
    <row r="84" spans="1:15" s="31" customFormat="1" x14ac:dyDescent="0.3">
      <c r="A84" s="305"/>
      <c r="B84" s="295"/>
      <c r="C84" s="139"/>
      <c r="D84" s="139"/>
      <c r="E84" s="105"/>
      <c r="F84" s="36">
        <f t="shared" si="20"/>
        <v>0</v>
      </c>
      <c r="G84" s="36">
        <f t="shared" si="19"/>
        <v>0</v>
      </c>
      <c r="H84" s="36">
        <f t="shared" si="21"/>
        <v>0</v>
      </c>
      <c r="I84" s="36">
        <f t="shared" si="22"/>
        <v>0</v>
      </c>
    </row>
    <row r="85" spans="1:15" s="31" customFormat="1" x14ac:dyDescent="0.3">
      <c r="A85" s="305"/>
      <c r="B85" s="295"/>
      <c r="C85" s="139"/>
      <c r="D85" s="139"/>
      <c r="E85" s="105"/>
      <c r="F85" s="36">
        <f t="shared" si="20"/>
        <v>0</v>
      </c>
      <c r="G85" s="36">
        <f t="shared" si="19"/>
        <v>0</v>
      </c>
      <c r="H85" s="36">
        <f t="shared" si="21"/>
        <v>0</v>
      </c>
      <c r="I85" s="36">
        <f t="shared" si="22"/>
        <v>0</v>
      </c>
    </row>
    <row r="86" spans="1:15" s="31" customFormat="1" x14ac:dyDescent="0.3">
      <c r="A86" s="305"/>
      <c r="B86" s="294"/>
      <c r="C86" s="104"/>
      <c r="D86" s="104"/>
      <c r="E86" s="105"/>
      <c r="F86" s="36">
        <f t="shared" ref="F86:F94" si="23">C86*E86</f>
        <v>0</v>
      </c>
      <c r="G86" s="36">
        <f t="shared" si="19"/>
        <v>0</v>
      </c>
      <c r="H86" s="36">
        <f t="shared" ref="H86:H94" si="24">C86*G86</f>
        <v>0</v>
      </c>
      <c r="I86" s="36">
        <f t="shared" ref="I86:I94" si="25">IF(OR($P$15=0,$P$15=""),H86*1,H86*(1+$P$15))</f>
        <v>0</v>
      </c>
    </row>
    <row r="87" spans="1:15" s="31" customFormat="1" x14ac:dyDescent="0.3">
      <c r="A87" s="305"/>
      <c r="B87" s="294"/>
      <c r="C87" s="104"/>
      <c r="D87" s="104"/>
      <c r="E87" s="105"/>
      <c r="F87" s="36">
        <f t="shared" si="23"/>
        <v>0</v>
      </c>
      <c r="G87" s="36">
        <f t="shared" si="19"/>
        <v>0</v>
      </c>
      <c r="H87" s="36">
        <f t="shared" si="24"/>
        <v>0</v>
      </c>
      <c r="I87" s="36">
        <f t="shared" si="25"/>
        <v>0</v>
      </c>
    </row>
    <row r="88" spans="1:15" s="31" customFormat="1" x14ac:dyDescent="0.3">
      <c r="A88" s="305"/>
      <c r="B88" s="294"/>
      <c r="C88" s="104"/>
      <c r="D88" s="104"/>
      <c r="E88" s="105"/>
      <c r="F88" s="36">
        <f t="shared" si="23"/>
        <v>0</v>
      </c>
      <c r="G88" s="36">
        <f t="shared" si="19"/>
        <v>0</v>
      </c>
      <c r="H88" s="36">
        <f t="shared" si="24"/>
        <v>0</v>
      </c>
      <c r="I88" s="36">
        <f t="shared" si="25"/>
        <v>0</v>
      </c>
    </row>
    <row r="89" spans="1:15" s="31" customFormat="1" x14ac:dyDescent="0.3">
      <c r="A89" s="305"/>
      <c r="B89" s="294"/>
      <c r="C89" s="104"/>
      <c r="D89" s="104"/>
      <c r="E89" s="105"/>
      <c r="F89" s="36">
        <f t="shared" si="23"/>
        <v>0</v>
      </c>
      <c r="G89" s="36">
        <f t="shared" si="19"/>
        <v>0</v>
      </c>
      <c r="H89" s="36">
        <f t="shared" si="24"/>
        <v>0</v>
      </c>
      <c r="I89" s="36">
        <f t="shared" si="25"/>
        <v>0</v>
      </c>
    </row>
    <row r="90" spans="1:15" s="31" customFormat="1" x14ac:dyDescent="0.3">
      <c r="A90" s="305"/>
      <c r="B90" s="294"/>
      <c r="C90" s="104"/>
      <c r="D90" s="104"/>
      <c r="E90" s="105"/>
      <c r="F90" s="36">
        <f t="shared" si="23"/>
        <v>0</v>
      </c>
      <c r="G90" s="36">
        <f t="shared" si="19"/>
        <v>0</v>
      </c>
      <c r="H90" s="36">
        <f t="shared" si="24"/>
        <v>0</v>
      </c>
      <c r="I90" s="36">
        <f t="shared" si="25"/>
        <v>0</v>
      </c>
    </row>
    <row r="91" spans="1:15" s="31" customFormat="1" x14ac:dyDescent="0.3">
      <c r="A91" s="305"/>
      <c r="B91" s="294"/>
      <c r="C91" s="104"/>
      <c r="D91" s="104"/>
      <c r="E91" s="105"/>
      <c r="F91" s="36">
        <f t="shared" si="23"/>
        <v>0</v>
      </c>
      <c r="G91" s="36">
        <f t="shared" si="19"/>
        <v>0</v>
      </c>
      <c r="H91" s="36">
        <f t="shared" si="24"/>
        <v>0</v>
      </c>
      <c r="I91" s="36">
        <f t="shared" si="25"/>
        <v>0</v>
      </c>
    </row>
    <row r="92" spans="1:15" s="31" customFormat="1" x14ac:dyDescent="0.3">
      <c r="A92" s="305"/>
      <c r="B92" s="294"/>
      <c r="C92" s="104"/>
      <c r="D92" s="104"/>
      <c r="E92" s="105"/>
      <c r="F92" s="36">
        <f t="shared" si="23"/>
        <v>0</v>
      </c>
      <c r="G92" s="36">
        <f t="shared" si="19"/>
        <v>0</v>
      </c>
      <c r="H92" s="36">
        <f t="shared" si="24"/>
        <v>0</v>
      </c>
      <c r="I92" s="36">
        <f t="shared" si="25"/>
        <v>0</v>
      </c>
    </row>
    <row r="93" spans="1:15" s="31" customFormat="1" x14ac:dyDescent="0.3">
      <c r="A93" s="305"/>
      <c r="B93" s="294"/>
      <c r="C93" s="104"/>
      <c r="D93" s="104"/>
      <c r="E93" s="105"/>
      <c r="F93" s="36">
        <f t="shared" si="23"/>
        <v>0</v>
      </c>
      <c r="G93" s="36">
        <f t="shared" si="19"/>
        <v>0</v>
      </c>
      <c r="H93" s="36">
        <f t="shared" si="24"/>
        <v>0</v>
      </c>
      <c r="I93" s="36">
        <f t="shared" si="25"/>
        <v>0</v>
      </c>
      <c r="J93" s="325">
        <f>F92+F91+F89+F90+F88+F87+F85+F84+F83+F82+F81+F80+F79+F78+F77+F76</f>
        <v>346</v>
      </c>
      <c r="K93" s="96"/>
      <c r="O93" s="334">
        <f>F94+F69+F66</f>
        <v>0</v>
      </c>
    </row>
    <row r="94" spans="1:15" s="31" customFormat="1" x14ac:dyDescent="0.3">
      <c r="A94" s="106"/>
      <c r="B94" s="296"/>
      <c r="C94" s="107"/>
      <c r="D94" s="107"/>
      <c r="E94" s="108"/>
      <c r="F94" s="36">
        <f t="shared" si="23"/>
        <v>0</v>
      </c>
      <c r="G94" s="36">
        <f t="shared" si="19"/>
        <v>0</v>
      </c>
      <c r="H94" s="36">
        <f t="shared" si="24"/>
        <v>0</v>
      </c>
      <c r="I94" s="36">
        <f t="shared" si="25"/>
        <v>0</v>
      </c>
      <c r="J94" s="56" t="s">
        <v>108</v>
      </c>
      <c r="K94" s="55" t="s">
        <v>109</v>
      </c>
    </row>
    <row r="95" spans="1:15" s="31" customFormat="1" x14ac:dyDescent="0.3">
      <c r="A95" s="335"/>
      <c r="B95" s="336"/>
      <c r="C95" s="335"/>
      <c r="D95" s="337"/>
      <c r="E95" s="338"/>
      <c r="F95" s="54">
        <f>SUM(F75:F94)</f>
        <v>4846</v>
      </c>
      <c r="G95" s="54">
        <f>SUM(G75:G94)</f>
        <v>5441.52</v>
      </c>
      <c r="H95" s="54">
        <f>SUM(H75:H94)</f>
        <v>5815.2</v>
      </c>
      <c r="I95" s="54">
        <f>SUM(I75:I94)</f>
        <v>5815.2</v>
      </c>
      <c r="J95" s="54">
        <f>F95</f>
        <v>4846</v>
      </c>
      <c r="K95" s="34">
        <f>I95</f>
        <v>5815.2</v>
      </c>
      <c r="L95" s="155">
        <f>IF(F95=0,0,(I95-F95)/F95)</f>
        <v>0.19999999999999996</v>
      </c>
      <c r="M95" s="120">
        <f>SUM(I75:I94)-SUM(F75:F94)</f>
        <v>969.19999999999982</v>
      </c>
      <c r="N95" s="86"/>
    </row>
    <row r="96" spans="1:15" ht="15.6" x14ac:dyDescent="0.3">
      <c r="A96" s="261" t="str">
        <f>'Installation 1'!B144</f>
        <v>ARV Tie In's 560</v>
      </c>
      <c r="B96" s="293"/>
      <c r="C96" s="112"/>
      <c r="D96" s="113"/>
      <c r="E96" s="112"/>
      <c r="F96" s="112"/>
      <c r="G96" s="112"/>
      <c r="H96" s="112"/>
      <c r="I96" s="112"/>
      <c r="J96" s="112"/>
      <c r="K96" s="112"/>
      <c r="L96" s="112"/>
      <c r="M96" s="112"/>
      <c r="O96"/>
    </row>
    <row r="97" spans="1:15" s="31" customFormat="1" ht="27.6" x14ac:dyDescent="0.3">
      <c r="A97" s="47" t="s">
        <v>184</v>
      </c>
      <c r="B97" s="290" t="s">
        <v>185</v>
      </c>
      <c r="C97" s="74" t="s">
        <v>47</v>
      </c>
      <c r="D97" s="74" t="s">
        <v>186</v>
      </c>
      <c r="E97" s="75" t="s">
        <v>193</v>
      </c>
      <c r="F97" s="48" t="s">
        <v>22</v>
      </c>
      <c r="G97" s="49" t="s">
        <v>194</v>
      </c>
      <c r="H97" s="49" t="s">
        <v>23</v>
      </c>
      <c r="I97" s="50" t="s">
        <v>100</v>
      </c>
    </row>
    <row r="98" spans="1:15" s="31" customFormat="1" x14ac:dyDescent="0.3">
      <c r="A98" s="305" t="s">
        <v>190</v>
      </c>
      <c r="B98" s="351" t="s">
        <v>202</v>
      </c>
      <c r="C98" s="306">
        <v>288</v>
      </c>
      <c r="D98" s="306" t="s">
        <v>57</v>
      </c>
      <c r="E98" s="105">
        <v>12</v>
      </c>
      <c r="F98" s="36">
        <f t="shared" ref="F98:F105" si="26">C98*E98</f>
        <v>3456</v>
      </c>
      <c r="G98" s="36">
        <f t="shared" ref="G98:G105" si="27">IF(A98="",0,E98*(1+VLOOKUP(A98,$O$5:$P$9,2,FALSE)))</f>
        <v>14.399999999999999</v>
      </c>
      <c r="H98" s="36">
        <f>C98*G98</f>
        <v>4147.2</v>
      </c>
      <c r="I98" s="36">
        <f>IF(OR($P$15=0,$P$15=""),H98*1,H98*(1+$P$15))</f>
        <v>4147.2</v>
      </c>
      <c r="K98" s="327"/>
    </row>
    <row r="99" spans="1:15" s="31" customFormat="1" ht="14.4" x14ac:dyDescent="0.3">
      <c r="A99" s="103" t="s">
        <v>190</v>
      </c>
      <c r="B99" s="350" t="s">
        <v>203</v>
      </c>
      <c r="C99" s="306">
        <v>1152</v>
      </c>
      <c r="D99" s="104" t="s">
        <v>57</v>
      </c>
      <c r="E99" s="105">
        <v>40</v>
      </c>
      <c r="F99" s="36">
        <f t="shared" si="26"/>
        <v>46080</v>
      </c>
      <c r="G99" s="36">
        <f t="shared" si="27"/>
        <v>48</v>
      </c>
      <c r="H99" s="36">
        <f t="shared" ref="H99:H105" si="28">C99*G99</f>
        <v>55296</v>
      </c>
      <c r="I99" s="36">
        <f t="shared" ref="I99:I105" si="29">IF(OR($P$15=0,$P$15=""),H99*1,H99*(1+$P$15))</f>
        <v>55296</v>
      </c>
      <c r="K99" s="327"/>
    </row>
    <row r="100" spans="1:15" s="31" customFormat="1" x14ac:dyDescent="0.3">
      <c r="A100" s="103" t="s">
        <v>190</v>
      </c>
      <c r="B100" s="294" t="s">
        <v>204</v>
      </c>
      <c r="C100" s="104">
        <v>4</v>
      </c>
      <c r="D100" s="104" t="s">
        <v>57</v>
      </c>
      <c r="E100" s="105">
        <v>250</v>
      </c>
      <c r="F100" s="36">
        <f t="shared" si="26"/>
        <v>1000</v>
      </c>
      <c r="G100" s="36">
        <f t="shared" si="27"/>
        <v>300</v>
      </c>
      <c r="H100" s="36">
        <f t="shared" si="28"/>
        <v>1200</v>
      </c>
      <c r="I100" s="36">
        <f t="shared" si="29"/>
        <v>1200</v>
      </c>
    </row>
    <row r="101" spans="1:15" s="31" customFormat="1" x14ac:dyDescent="0.3">
      <c r="A101" s="103" t="s">
        <v>190</v>
      </c>
      <c r="B101" s="294" t="s">
        <v>205</v>
      </c>
      <c r="C101" s="306">
        <v>1</v>
      </c>
      <c r="D101" s="104" t="s">
        <v>57</v>
      </c>
      <c r="E101" s="105">
        <v>1400</v>
      </c>
      <c r="F101" s="36">
        <f t="shared" si="26"/>
        <v>1400</v>
      </c>
      <c r="G101" s="36">
        <f t="shared" si="27"/>
        <v>1680</v>
      </c>
      <c r="H101" s="36">
        <f t="shared" si="28"/>
        <v>1680</v>
      </c>
      <c r="I101" s="36">
        <f t="shared" si="29"/>
        <v>1680</v>
      </c>
    </row>
    <row r="102" spans="1:15" s="31" customFormat="1" x14ac:dyDescent="0.3">
      <c r="A102" s="103" t="s">
        <v>190</v>
      </c>
      <c r="B102" s="294" t="s">
        <v>206</v>
      </c>
      <c r="C102" s="104">
        <v>4</v>
      </c>
      <c r="D102" s="104" t="s">
        <v>57</v>
      </c>
      <c r="E102" s="105">
        <v>8039.38</v>
      </c>
      <c r="F102" s="36">
        <f t="shared" si="26"/>
        <v>32157.52</v>
      </c>
      <c r="G102" s="36">
        <f t="shared" si="27"/>
        <v>9647.2559999999994</v>
      </c>
      <c r="H102" s="36">
        <f t="shared" si="28"/>
        <v>38589.023999999998</v>
      </c>
      <c r="I102" s="36">
        <f t="shared" si="29"/>
        <v>38589.023999999998</v>
      </c>
    </row>
    <row r="103" spans="1:15" s="31" customFormat="1" x14ac:dyDescent="0.3">
      <c r="A103" s="103" t="s">
        <v>190</v>
      </c>
      <c r="B103" s="294" t="s">
        <v>384</v>
      </c>
      <c r="C103" s="104">
        <v>37</v>
      </c>
      <c r="D103" s="104" t="s">
        <v>57</v>
      </c>
      <c r="E103" s="105">
        <v>6350</v>
      </c>
      <c r="F103" s="36">
        <f t="shared" si="26"/>
        <v>234950</v>
      </c>
      <c r="G103" s="36">
        <f t="shared" si="27"/>
        <v>7620</v>
      </c>
      <c r="H103" s="36">
        <f t="shared" si="28"/>
        <v>281940</v>
      </c>
      <c r="I103" s="36">
        <f t="shared" si="29"/>
        <v>281940</v>
      </c>
    </row>
    <row r="104" spans="1:15" s="31" customFormat="1" x14ac:dyDescent="0.3">
      <c r="A104" s="103"/>
      <c r="B104" s="294"/>
      <c r="C104" s="104"/>
      <c r="D104" s="104"/>
      <c r="E104" s="105"/>
      <c r="F104" s="36">
        <f t="shared" si="26"/>
        <v>0</v>
      </c>
      <c r="G104" s="36">
        <f t="shared" si="27"/>
        <v>0</v>
      </c>
      <c r="H104" s="36">
        <f t="shared" si="28"/>
        <v>0</v>
      </c>
      <c r="I104" s="36">
        <f t="shared" si="29"/>
        <v>0</v>
      </c>
      <c r="J104" s="325">
        <f>F101+F100</f>
        <v>2400</v>
      </c>
      <c r="K104" s="325">
        <f>J104+J93+J70+J10</f>
        <v>5246</v>
      </c>
    </row>
    <row r="105" spans="1:15" s="31" customFormat="1" x14ac:dyDescent="0.3">
      <c r="A105" s="106"/>
      <c r="B105" s="296"/>
      <c r="C105" s="107"/>
      <c r="D105" s="107"/>
      <c r="E105" s="108"/>
      <c r="F105" s="36">
        <f t="shared" si="26"/>
        <v>0</v>
      </c>
      <c r="G105" s="36">
        <f t="shared" si="27"/>
        <v>0</v>
      </c>
      <c r="H105" s="36">
        <f t="shared" si="28"/>
        <v>0</v>
      </c>
      <c r="I105" s="36">
        <f t="shared" si="29"/>
        <v>0</v>
      </c>
      <c r="J105" s="56" t="s">
        <v>108</v>
      </c>
      <c r="K105" s="55" t="s">
        <v>109</v>
      </c>
    </row>
    <row r="106" spans="1:15" s="31" customFormat="1" x14ac:dyDescent="0.3">
      <c r="B106" s="99"/>
      <c r="D106" s="32"/>
      <c r="E106" s="36"/>
      <c r="F106" s="54">
        <f>SUM(F98:F105)</f>
        <v>319043.52</v>
      </c>
      <c r="G106" s="54">
        <f>SUM(G98:G105)</f>
        <v>19309.655999999999</v>
      </c>
      <c r="H106" s="54">
        <f>SUM(H98:H105)</f>
        <v>382852.22399999999</v>
      </c>
      <c r="I106" s="54">
        <f>SUM(I98:I105)</f>
        <v>382852.22399999999</v>
      </c>
      <c r="J106" s="54">
        <f>F106</f>
        <v>319043.52</v>
      </c>
      <c r="K106" s="34">
        <f>I106</f>
        <v>382852.22399999999</v>
      </c>
      <c r="L106" s="155">
        <f>IF(F106=0,0,(I106-F106)/F106)</f>
        <v>0.1999999999999999</v>
      </c>
      <c r="M106" s="120">
        <f>SUM(I98:I105)-SUM(F98:F105)</f>
        <v>63808.703999999969</v>
      </c>
      <c r="N106" s="86"/>
    </row>
    <row r="107" spans="1:15" ht="15.6" x14ac:dyDescent="0.3">
      <c r="A107" s="261" t="str">
        <f>'Installation 1'!B172</f>
        <v>Flush Water Tie In</v>
      </c>
      <c r="B107" s="293"/>
      <c r="C107" s="112"/>
      <c r="D107" s="113"/>
      <c r="E107" s="112"/>
      <c r="F107" s="112"/>
      <c r="G107" s="112"/>
      <c r="H107" s="112"/>
      <c r="I107" s="112"/>
      <c r="J107" s="112"/>
      <c r="K107" s="112"/>
      <c r="L107" s="112"/>
      <c r="M107" s="112"/>
      <c r="O107"/>
    </row>
    <row r="108" spans="1:15" s="31" customFormat="1" ht="27.6" x14ac:dyDescent="0.3">
      <c r="A108" s="47" t="s">
        <v>184</v>
      </c>
      <c r="B108" s="290" t="s">
        <v>185</v>
      </c>
      <c r="C108" s="74" t="s">
        <v>47</v>
      </c>
      <c r="D108" s="74" t="s">
        <v>186</v>
      </c>
      <c r="E108" s="75" t="s">
        <v>193</v>
      </c>
      <c r="F108" s="48" t="s">
        <v>22</v>
      </c>
      <c r="G108" s="49" t="s">
        <v>194</v>
      </c>
      <c r="H108" s="49" t="s">
        <v>23</v>
      </c>
      <c r="I108" s="50" t="s">
        <v>100</v>
      </c>
    </row>
    <row r="109" spans="1:15" s="31" customFormat="1" ht="14.4" x14ac:dyDescent="0.3">
      <c r="A109" s="103" t="s">
        <v>190</v>
      </c>
      <c r="B109" s="348" t="s">
        <v>207</v>
      </c>
      <c r="C109" s="104">
        <v>84</v>
      </c>
      <c r="D109" s="104" t="s">
        <v>57</v>
      </c>
      <c r="E109" s="105">
        <v>35</v>
      </c>
      <c r="F109" s="36">
        <f t="shared" ref="F109:F115" si="30">C109*E109</f>
        <v>2940</v>
      </c>
      <c r="G109" s="36">
        <f t="shared" ref="G109:G115" si="31">IF(A109="",0,E109*(1+VLOOKUP(A109,$O$5:$P$9,2,FALSE)))</f>
        <v>42</v>
      </c>
      <c r="H109" s="36">
        <f t="shared" ref="H109:H115" si="32">C109*G109</f>
        <v>3528</v>
      </c>
      <c r="I109" s="36">
        <f t="shared" ref="I109:I115" si="33">IF(OR($P$15=0,$P$15=""),H109*1,H109*(1+$P$15))</f>
        <v>3528</v>
      </c>
    </row>
    <row r="110" spans="1:15" s="31" customFormat="1" x14ac:dyDescent="0.3">
      <c r="A110" s="103" t="s">
        <v>190</v>
      </c>
      <c r="B110" s="294" t="s">
        <v>204</v>
      </c>
      <c r="C110" s="104">
        <v>4</v>
      </c>
      <c r="D110" s="104" t="s">
        <v>57</v>
      </c>
      <c r="E110" s="105">
        <v>250</v>
      </c>
      <c r="F110" s="36">
        <f t="shared" si="30"/>
        <v>1000</v>
      </c>
      <c r="G110" s="36">
        <f t="shared" si="31"/>
        <v>300</v>
      </c>
      <c r="H110" s="36">
        <f t="shared" si="32"/>
        <v>1200</v>
      </c>
      <c r="I110" s="36">
        <f t="shared" si="33"/>
        <v>1200</v>
      </c>
    </row>
    <row r="111" spans="1:15" s="31" customFormat="1" x14ac:dyDescent="0.3">
      <c r="A111" s="103" t="s">
        <v>190</v>
      </c>
      <c r="B111" s="294" t="s">
        <v>205</v>
      </c>
      <c r="C111" s="104">
        <v>1</v>
      </c>
      <c r="D111" s="104" t="s">
        <v>57</v>
      </c>
      <c r="E111" s="105">
        <v>800</v>
      </c>
      <c r="F111" s="36">
        <f t="shared" si="30"/>
        <v>800</v>
      </c>
      <c r="G111" s="36">
        <f t="shared" si="31"/>
        <v>960</v>
      </c>
      <c r="H111" s="36">
        <f t="shared" si="32"/>
        <v>960</v>
      </c>
      <c r="I111" s="36">
        <f t="shared" si="33"/>
        <v>960</v>
      </c>
    </row>
    <row r="112" spans="1:15" s="31" customFormat="1" x14ac:dyDescent="0.3">
      <c r="A112" s="103" t="s">
        <v>190</v>
      </c>
      <c r="B112" s="294" t="s">
        <v>208</v>
      </c>
      <c r="C112" s="104">
        <v>1</v>
      </c>
      <c r="D112" s="104" t="s">
        <v>57</v>
      </c>
      <c r="E112" s="105">
        <v>5980.29</v>
      </c>
      <c r="F112" s="36">
        <f t="shared" si="30"/>
        <v>5980.29</v>
      </c>
      <c r="G112" s="36">
        <f t="shared" si="31"/>
        <v>7176.348</v>
      </c>
      <c r="H112" s="36">
        <f t="shared" si="32"/>
        <v>7176.348</v>
      </c>
      <c r="I112" s="36">
        <f t="shared" si="33"/>
        <v>7176.348</v>
      </c>
    </row>
    <row r="113" spans="1:15" s="31" customFormat="1" x14ac:dyDescent="0.3">
      <c r="A113" s="103"/>
      <c r="B113" s="294"/>
      <c r="C113" s="104"/>
      <c r="D113" s="104"/>
      <c r="E113" s="105"/>
      <c r="F113" s="36">
        <f t="shared" si="30"/>
        <v>0</v>
      </c>
      <c r="G113" s="36">
        <f t="shared" si="31"/>
        <v>0</v>
      </c>
      <c r="H113" s="36">
        <f t="shared" si="32"/>
        <v>0</v>
      </c>
      <c r="I113" s="36">
        <f t="shared" si="33"/>
        <v>0</v>
      </c>
    </row>
    <row r="114" spans="1:15" s="31" customFormat="1" x14ac:dyDescent="0.3">
      <c r="A114" s="103"/>
      <c r="B114" s="294"/>
      <c r="C114" s="104"/>
      <c r="D114" s="104"/>
      <c r="E114" s="105"/>
      <c r="F114" s="36">
        <f t="shared" si="30"/>
        <v>0</v>
      </c>
      <c r="G114" s="36">
        <f t="shared" si="31"/>
        <v>0</v>
      </c>
      <c r="H114" s="36">
        <f t="shared" si="32"/>
        <v>0</v>
      </c>
      <c r="I114" s="36">
        <f t="shared" si="33"/>
        <v>0</v>
      </c>
    </row>
    <row r="115" spans="1:15" s="31" customFormat="1" x14ac:dyDescent="0.3">
      <c r="A115" s="106"/>
      <c r="B115" s="296"/>
      <c r="C115" s="107"/>
      <c r="D115" s="107"/>
      <c r="E115" s="108"/>
      <c r="F115" s="36">
        <f t="shared" si="30"/>
        <v>0</v>
      </c>
      <c r="G115" s="36">
        <f t="shared" si="31"/>
        <v>0</v>
      </c>
      <c r="H115" s="36">
        <f t="shared" si="32"/>
        <v>0</v>
      </c>
      <c r="I115" s="36">
        <f t="shared" si="33"/>
        <v>0</v>
      </c>
      <c r="J115" s="56" t="s">
        <v>108</v>
      </c>
      <c r="K115" s="55" t="s">
        <v>109</v>
      </c>
    </row>
    <row r="116" spans="1:15" s="31" customFormat="1" x14ac:dyDescent="0.3">
      <c r="B116" s="99"/>
      <c r="D116" s="32"/>
      <c r="E116" s="36"/>
      <c r="F116" s="54">
        <f>SUM(F109:F115)</f>
        <v>10720.29</v>
      </c>
      <c r="G116" s="54">
        <f>SUM(G109:G115)</f>
        <v>8478.348</v>
      </c>
      <c r="H116" s="54">
        <f>SUM(H109:H115)</f>
        <v>12864.348</v>
      </c>
      <c r="I116" s="54">
        <f>SUM(I109:I115)</f>
        <v>12864.348</v>
      </c>
      <c r="J116" s="54">
        <f>F116</f>
        <v>10720.29</v>
      </c>
      <c r="K116" s="34">
        <f>I116</f>
        <v>12864.348</v>
      </c>
      <c r="L116" s="155">
        <f>IF(F116=0,0,(I116-F116)/F116)</f>
        <v>0.1999999999999999</v>
      </c>
      <c r="M116" s="120">
        <f>SUM(I109:I115)-SUM(F109:F115)</f>
        <v>2144.0579999999991</v>
      </c>
      <c r="N116" s="86"/>
    </row>
    <row r="117" spans="1:15" ht="15.6" x14ac:dyDescent="0.3">
      <c r="A117" s="261" t="str">
        <f>'Installation 1'!B200</f>
        <v xml:space="preserve">Earth Mounding </v>
      </c>
      <c r="B117" s="293"/>
      <c r="C117" s="112"/>
      <c r="D117" s="113"/>
      <c r="E117" s="112"/>
      <c r="F117" s="112"/>
      <c r="G117" s="112"/>
      <c r="H117" s="112"/>
      <c r="I117" s="112"/>
      <c r="J117" s="112"/>
      <c r="K117" s="112"/>
      <c r="L117" s="112"/>
      <c r="M117" s="112"/>
      <c r="O117"/>
    </row>
    <row r="118" spans="1:15" s="31" customFormat="1" ht="27.6" x14ac:dyDescent="0.3">
      <c r="A118" s="47" t="s">
        <v>184</v>
      </c>
      <c r="B118" s="290" t="s">
        <v>185</v>
      </c>
      <c r="C118" s="74" t="s">
        <v>47</v>
      </c>
      <c r="D118" s="74" t="s">
        <v>186</v>
      </c>
      <c r="E118" s="75" t="s">
        <v>193</v>
      </c>
      <c r="F118" s="48" t="s">
        <v>22</v>
      </c>
      <c r="G118" s="49" t="s">
        <v>194</v>
      </c>
      <c r="H118" s="49" t="s">
        <v>23</v>
      </c>
      <c r="I118" s="50" t="s">
        <v>100</v>
      </c>
    </row>
    <row r="119" spans="1:15" s="31" customFormat="1" x14ac:dyDescent="0.3">
      <c r="A119" s="103" t="s">
        <v>188</v>
      </c>
      <c r="B119" s="294" t="s">
        <v>209</v>
      </c>
      <c r="C119" s="104">
        <v>1</v>
      </c>
      <c r="D119" s="104" t="s">
        <v>57</v>
      </c>
      <c r="E119" s="105">
        <v>2000</v>
      </c>
      <c r="F119" s="36">
        <f t="shared" ref="F119:F125" si="34">C119*E119</f>
        <v>2000</v>
      </c>
      <c r="G119" s="36">
        <f t="shared" ref="G119:G125" si="35">IF(A119="",0,E119*(1+VLOOKUP(A119,$O$5:$P$9,2,FALSE)))</f>
        <v>2400</v>
      </c>
      <c r="H119" s="36">
        <f t="shared" ref="H119:H125" si="36">C119*G119</f>
        <v>2400</v>
      </c>
      <c r="I119" s="36">
        <f t="shared" ref="I119:I125" si="37">IF(OR($P$15=0,$P$15=""),H119*1,H119*(1+$P$15))</f>
        <v>2400</v>
      </c>
    </row>
    <row r="120" spans="1:15" s="31" customFormat="1" x14ac:dyDescent="0.3">
      <c r="A120" s="103"/>
      <c r="B120" s="294"/>
      <c r="C120" s="104"/>
      <c r="D120" s="104"/>
      <c r="E120" s="105"/>
      <c r="F120" s="36">
        <f t="shared" si="34"/>
        <v>0</v>
      </c>
      <c r="G120" s="36">
        <f t="shared" si="35"/>
        <v>0</v>
      </c>
      <c r="H120" s="36">
        <f t="shared" si="36"/>
        <v>0</v>
      </c>
      <c r="I120" s="36">
        <f t="shared" si="37"/>
        <v>0</v>
      </c>
    </row>
    <row r="121" spans="1:15" s="31" customFormat="1" x14ac:dyDescent="0.3">
      <c r="A121" s="103"/>
      <c r="B121" s="294"/>
      <c r="C121" s="104"/>
      <c r="D121" s="104"/>
      <c r="E121" s="105"/>
      <c r="F121" s="36">
        <f t="shared" si="34"/>
        <v>0</v>
      </c>
      <c r="G121" s="36">
        <f t="shared" si="35"/>
        <v>0</v>
      </c>
      <c r="H121" s="36">
        <f t="shared" si="36"/>
        <v>0</v>
      </c>
      <c r="I121" s="36">
        <f t="shared" si="37"/>
        <v>0</v>
      </c>
    </row>
    <row r="122" spans="1:15" s="31" customFormat="1" x14ac:dyDescent="0.3">
      <c r="A122" s="103"/>
      <c r="B122" s="294"/>
      <c r="C122" s="104"/>
      <c r="D122" s="104"/>
      <c r="E122" s="105"/>
      <c r="F122" s="36">
        <f t="shared" si="34"/>
        <v>0</v>
      </c>
      <c r="G122" s="36">
        <f t="shared" si="35"/>
        <v>0</v>
      </c>
      <c r="H122" s="36">
        <f t="shared" si="36"/>
        <v>0</v>
      </c>
      <c r="I122" s="36">
        <f t="shared" si="37"/>
        <v>0</v>
      </c>
    </row>
    <row r="123" spans="1:15" s="31" customFormat="1" x14ac:dyDescent="0.3">
      <c r="A123" s="103"/>
      <c r="B123" s="294"/>
      <c r="C123" s="104"/>
      <c r="D123" s="104"/>
      <c r="E123" s="105"/>
      <c r="F123" s="36">
        <f t="shared" si="34"/>
        <v>0</v>
      </c>
      <c r="G123" s="36">
        <f t="shared" si="35"/>
        <v>0</v>
      </c>
      <c r="H123" s="36">
        <f t="shared" si="36"/>
        <v>0</v>
      </c>
      <c r="I123" s="36">
        <f t="shared" si="37"/>
        <v>0</v>
      </c>
    </row>
    <row r="124" spans="1:15" s="31" customFormat="1" x14ac:dyDescent="0.3">
      <c r="A124" s="103"/>
      <c r="B124" s="294"/>
      <c r="C124" s="104"/>
      <c r="D124" s="104"/>
      <c r="E124" s="105"/>
      <c r="F124" s="36">
        <f t="shared" si="34"/>
        <v>0</v>
      </c>
      <c r="G124" s="36">
        <f t="shared" si="35"/>
        <v>0</v>
      </c>
      <c r="H124" s="36">
        <f t="shared" si="36"/>
        <v>0</v>
      </c>
      <c r="I124" s="36">
        <f t="shared" si="37"/>
        <v>0</v>
      </c>
    </row>
    <row r="125" spans="1:15" s="31" customFormat="1" x14ac:dyDescent="0.3">
      <c r="A125" s="106"/>
      <c r="B125" s="296"/>
      <c r="C125" s="107"/>
      <c r="D125" s="107"/>
      <c r="E125" s="108"/>
      <c r="F125" s="36">
        <f t="shared" si="34"/>
        <v>0</v>
      </c>
      <c r="G125" s="36">
        <f t="shared" si="35"/>
        <v>0</v>
      </c>
      <c r="H125" s="36">
        <f t="shared" si="36"/>
        <v>0</v>
      </c>
      <c r="I125" s="36">
        <f t="shared" si="37"/>
        <v>0</v>
      </c>
      <c r="J125" s="56" t="s">
        <v>108</v>
      </c>
      <c r="K125" s="55" t="s">
        <v>109</v>
      </c>
    </row>
    <row r="126" spans="1:15" s="31" customFormat="1" x14ac:dyDescent="0.3">
      <c r="B126" s="99"/>
      <c r="D126" s="32"/>
      <c r="E126" s="36"/>
      <c r="F126" s="54">
        <f>SUM(F119:F125)</f>
        <v>2000</v>
      </c>
      <c r="G126" s="54">
        <f>SUM(G119:G125)</f>
        <v>2400</v>
      </c>
      <c r="H126" s="54">
        <f>SUM(H119:H125)</f>
        <v>2400</v>
      </c>
      <c r="I126" s="54">
        <f>SUM(I119:I125)</f>
        <v>2400</v>
      </c>
      <c r="J126" s="54">
        <f>F126</f>
        <v>2000</v>
      </c>
      <c r="K126" s="34">
        <f>I126</f>
        <v>2400</v>
      </c>
      <c r="L126" s="155">
        <f>IF(F126=0,0,(I126-F126)/F126)</f>
        <v>0.2</v>
      </c>
      <c r="M126" s="120">
        <f>SUM(I119:I125)-SUM(F119:F125)</f>
        <v>400</v>
      </c>
      <c r="N126" s="86"/>
    </row>
    <row r="127" spans="1:15" ht="15.6" x14ac:dyDescent="0.3">
      <c r="A127" s="261">
        <f>'Installation 1'!B228</f>
        <v>0</v>
      </c>
      <c r="B127" s="293"/>
      <c r="C127" s="112"/>
      <c r="D127" s="113"/>
      <c r="E127" s="112"/>
      <c r="F127" s="112"/>
      <c r="G127" s="112"/>
      <c r="H127" s="112"/>
      <c r="I127" s="112"/>
      <c r="J127" s="112"/>
      <c r="K127" s="112"/>
      <c r="L127" s="112"/>
      <c r="M127" s="112"/>
      <c r="O127"/>
    </row>
    <row r="128" spans="1:15" s="31" customFormat="1" ht="27.6" x14ac:dyDescent="0.3">
      <c r="A128" s="47" t="s">
        <v>184</v>
      </c>
      <c r="B128" s="290" t="s">
        <v>185</v>
      </c>
      <c r="C128" s="74" t="s">
        <v>47</v>
      </c>
      <c r="D128" s="74" t="s">
        <v>186</v>
      </c>
      <c r="E128" s="75" t="s">
        <v>193</v>
      </c>
      <c r="F128" s="48" t="s">
        <v>22</v>
      </c>
      <c r="G128" s="49" t="s">
        <v>194</v>
      </c>
      <c r="H128" s="49" t="s">
        <v>23</v>
      </c>
      <c r="I128" s="50" t="s">
        <v>100</v>
      </c>
    </row>
    <row r="129" spans="1:15" s="31" customFormat="1" x14ac:dyDescent="0.3">
      <c r="A129" s="103"/>
      <c r="B129" s="294"/>
      <c r="C129" s="104"/>
      <c r="D129" s="104"/>
      <c r="E129" s="105"/>
      <c r="F129" s="36">
        <f t="shared" ref="F129:F136" si="38">C129*E129</f>
        <v>0</v>
      </c>
      <c r="G129" s="36">
        <f t="shared" ref="G129:G136" si="39">IF(A129="",0,E129*(1+VLOOKUP(A129,$O$5:$P$9,2,FALSE)))</f>
        <v>0</v>
      </c>
      <c r="H129" s="36">
        <f>C129*G129</f>
        <v>0</v>
      </c>
      <c r="I129" s="36">
        <f>IF(OR($P$15=0,$P$15=""),H129*1,H129*(1+$P$15))</f>
        <v>0</v>
      </c>
    </row>
    <row r="130" spans="1:15" s="31" customFormat="1" x14ac:dyDescent="0.3">
      <c r="A130" s="103"/>
      <c r="B130" s="294"/>
      <c r="C130" s="104"/>
      <c r="D130" s="104"/>
      <c r="E130" s="105"/>
      <c r="F130" s="36">
        <f t="shared" si="38"/>
        <v>0</v>
      </c>
      <c r="G130" s="36">
        <f t="shared" si="39"/>
        <v>0</v>
      </c>
      <c r="H130" s="36">
        <f t="shared" ref="H130:H136" si="40">C130*G130</f>
        <v>0</v>
      </c>
      <c r="I130" s="36">
        <f t="shared" ref="I130:I136" si="41">IF(OR($P$15=0,$P$15=""),H130*1,H130*(1+$P$15))</f>
        <v>0</v>
      </c>
    </row>
    <row r="131" spans="1:15" s="31" customFormat="1" x14ac:dyDescent="0.3">
      <c r="A131" s="103"/>
      <c r="B131" s="294"/>
      <c r="C131" s="104"/>
      <c r="D131" s="104"/>
      <c r="E131" s="105"/>
      <c r="F131" s="36">
        <f t="shared" si="38"/>
        <v>0</v>
      </c>
      <c r="G131" s="36">
        <f t="shared" si="39"/>
        <v>0</v>
      </c>
      <c r="H131" s="36">
        <f t="shared" si="40"/>
        <v>0</v>
      </c>
      <c r="I131" s="36">
        <f t="shared" si="41"/>
        <v>0</v>
      </c>
    </row>
    <row r="132" spans="1:15" s="31" customFormat="1" x14ac:dyDescent="0.3">
      <c r="A132" s="103"/>
      <c r="B132" s="294"/>
      <c r="C132" s="104"/>
      <c r="D132" s="104"/>
      <c r="E132" s="105"/>
      <c r="F132" s="36">
        <f t="shared" si="38"/>
        <v>0</v>
      </c>
      <c r="G132" s="36">
        <f t="shared" si="39"/>
        <v>0</v>
      </c>
      <c r="H132" s="36">
        <f t="shared" si="40"/>
        <v>0</v>
      </c>
      <c r="I132" s="36">
        <f t="shared" si="41"/>
        <v>0</v>
      </c>
    </row>
    <row r="133" spans="1:15" s="31" customFormat="1" x14ac:dyDescent="0.3">
      <c r="A133" s="103"/>
      <c r="B133" s="294"/>
      <c r="C133" s="104"/>
      <c r="D133" s="104"/>
      <c r="E133" s="105"/>
      <c r="F133" s="36">
        <f t="shared" si="38"/>
        <v>0</v>
      </c>
      <c r="G133" s="36">
        <f t="shared" si="39"/>
        <v>0</v>
      </c>
      <c r="H133" s="36">
        <f t="shared" si="40"/>
        <v>0</v>
      </c>
      <c r="I133" s="36">
        <f t="shared" si="41"/>
        <v>0</v>
      </c>
    </row>
    <row r="134" spans="1:15" s="31" customFormat="1" x14ac:dyDescent="0.3">
      <c r="A134" s="103"/>
      <c r="B134" s="294"/>
      <c r="C134" s="104"/>
      <c r="D134" s="104"/>
      <c r="E134" s="105"/>
      <c r="F134" s="36">
        <f t="shared" si="38"/>
        <v>0</v>
      </c>
      <c r="G134" s="36">
        <f t="shared" si="39"/>
        <v>0</v>
      </c>
      <c r="H134" s="36">
        <f t="shared" si="40"/>
        <v>0</v>
      </c>
      <c r="I134" s="36">
        <f t="shared" si="41"/>
        <v>0</v>
      </c>
    </row>
    <row r="135" spans="1:15" s="31" customFormat="1" x14ac:dyDescent="0.3">
      <c r="A135" s="103"/>
      <c r="B135" s="294"/>
      <c r="C135" s="104"/>
      <c r="D135" s="104"/>
      <c r="E135" s="105"/>
      <c r="F135" s="36">
        <f t="shared" si="38"/>
        <v>0</v>
      </c>
      <c r="G135" s="36">
        <f t="shared" si="39"/>
        <v>0</v>
      </c>
      <c r="H135" s="36">
        <f t="shared" si="40"/>
        <v>0</v>
      </c>
      <c r="I135" s="36">
        <f t="shared" si="41"/>
        <v>0</v>
      </c>
    </row>
    <row r="136" spans="1:15" s="31" customFormat="1" x14ac:dyDescent="0.3">
      <c r="A136" s="106"/>
      <c r="B136" s="296"/>
      <c r="C136" s="107"/>
      <c r="D136" s="107"/>
      <c r="E136" s="108"/>
      <c r="F136" s="36">
        <f t="shared" si="38"/>
        <v>0</v>
      </c>
      <c r="G136" s="36">
        <f t="shared" si="39"/>
        <v>0</v>
      </c>
      <c r="H136" s="36">
        <f t="shared" si="40"/>
        <v>0</v>
      </c>
      <c r="I136" s="36">
        <f t="shared" si="41"/>
        <v>0</v>
      </c>
      <c r="J136" s="56" t="s">
        <v>108</v>
      </c>
      <c r="K136" s="55" t="s">
        <v>109</v>
      </c>
    </row>
    <row r="137" spans="1:15" s="31" customFormat="1" x14ac:dyDescent="0.3">
      <c r="B137" s="99"/>
      <c r="D137" s="32"/>
      <c r="E137" s="36"/>
      <c r="F137" s="54">
        <f>SUM(F129:F136)</f>
        <v>0</v>
      </c>
      <c r="G137" s="54">
        <f>SUM(G129:G136)</f>
        <v>0</v>
      </c>
      <c r="H137" s="54">
        <f>SUM(H129:H136)</f>
        <v>0</v>
      </c>
      <c r="I137" s="54">
        <f>SUM(I129:I136)</f>
        <v>0</v>
      </c>
      <c r="J137" s="54">
        <f>F137</f>
        <v>0</v>
      </c>
      <c r="K137" s="34">
        <f>I137</f>
        <v>0</v>
      </c>
      <c r="L137" s="155">
        <f>IF(F137=0,0,(I137-F137)/F137)</f>
        <v>0</v>
      </c>
      <c r="M137" s="120">
        <f>SUM(I129:I136)-SUM(F129:F136)</f>
        <v>0</v>
      </c>
      <c r="N137" s="86"/>
    </row>
    <row r="138" spans="1:15" ht="15.6" x14ac:dyDescent="0.3">
      <c r="A138" s="261" t="str">
        <f>'Installation 1'!B256</f>
        <v>Flow meters/Actuated Valve/Scour Drain Tee</v>
      </c>
      <c r="B138" s="293"/>
      <c r="C138" s="112"/>
      <c r="D138" s="113"/>
      <c r="E138" s="112"/>
      <c r="F138" s="112"/>
      <c r="G138" s="112"/>
      <c r="H138" s="112"/>
      <c r="I138" s="112"/>
      <c r="J138" s="112"/>
      <c r="K138" s="112"/>
      <c r="L138" s="112"/>
      <c r="M138" s="112"/>
      <c r="O138"/>
    </row>
    <row r="139" spans="1:15" s="31" customFormat="1" ht="27.6" x14ac:dyDescent="0.3">
      <c r="A139" s="47" t="s">
        <v>184</v>
      </c>
      <c r="B139" s="290" t="s">
        <v>185</v>
      </c>
      <c r="C139" s="74" t="s">
        <v>47</v>
      </c>
      <c r="D139" s="74" t="s">
        <v>186</v>
      </c>
      <c r="E139" s="75" t="s">
        <v>193</v>
      </c>
      <c r="F139" s="48" t="s">
        <v>22</v>
      </c>
      <c r="G139" s="49" t="s">
        <v>194</v>
      </c>
      <c r="H139" s="49" t="s">
        <v>23</v>
      </c>
      <c r="I139" s="50" t="s">
        <v>100</v>
      </c>
    </row>
    <row r="140" spans="1:15" s="31" customFormat="1" x14ac:dyDescent="0.3">
      <c r="A140" s="103" t="s">
        <v>190</v>
      </c>
      <c r="B140" s="294" t="s">
        <v>211</v>
      </c>
      <c r="C140" s="104">
        <v>1</v>
      </c>
      <c r="D140" s="104" t="s">
        <v>57</v>
      </c>
      <c r="E140" s="105">
        <v>10000</v>
      </c>
      <c r="F140" s="36">
        <f t="shared" ref="F140:F147" si="42">C140*E140</f>
        <v>10000</v>
      </c>
      <c r="G140" s="36">
        <f t="shared" ref="G140:G147" si="43">IF(A140="",0,E140*(1+VLOOKUP(A140,$O$5:$P$9,2,FALSE)))</f>
        <v>12000</v>
      </c>
      <c r="H140" s="36">
        <f>C140*G140</f>
        <v>12000</v>
      </c>
      <c r="I140" s="36">
        <f>IF(OR($P$15=0,$P$15=""),H140*1,H140*(1+$P$15))</f>
        <v>12000</v>
      </c>
    </row>
    <row r="141" spans="1:15" s="31" customFormat="1" x14ac:dyDescent="0.3">
      <c r="A141" s="103"/>
      <c r="B141" s="294"/>
      <c r="C141" s="104"/>
      <c r="D141" s="104"/>
      <c r="E141" s="105"/>
      <c r="F141" s="36">
        <f t="shared" si="42"/>
        <v>0</v>
      </c>
      <c r="G141" s="36">
        <f t="shared" si="43"/>
        <v>0</v>
      </c>
      <c r="H141" s="36">
        <f t="shared" ref="H141:H147" si="44">C141*G141</f>
        <v>0</v>
      </c>
      <c r="I141" s="36">
        <f t="shared" ref="I141:I147" si="45">IF(OR($P$15=0,$P$15=""),H141*1,H141*(1+$P$15))</f>
        <v>0</v>
      </c>
    </row>
    <row r="142" spans="1:15" s="31" customFormat="1" x14ac:dyDescent="0.3">
      <c r="A142" s="103"/>
      <c r="B142" s="294"/>
      <c r="C142" s="104"/>
      <c r="D142" s="104"/>
      <c r="E142" s="105"/>
      <c r="F142" s="36">
        <f t="shared" si="42"/>
        <v>0</v>
      </c>
      <c r="G142" s="36">
        <f t="shared" si="43"/>
        <v>0</v>
      </c>
      <c r="H142" s="36">
        <f t="shared" si="44"/>
        <v>0</v>
      </c>
      <c r="I142" s="36">
        <f t="shared" si="45"/>
        <v>0</v>
      </c>
    </row>
    <row r="143" spans="1:15" s="31" customFormat="1" x14ac:dyDescent="0.3">
      <c r="A143" s="103"/>
      <c r="B143" s="294"/>
      <c r="C143" s="104"/>
      <c r="D143" s="104"/>
      <c r="E143" s="105"/>
      <c r="F143" s="36">
        <f t="shared" si="42"/>
        <v>0</v>
      </c>
      <c r="G143" s="36">
        <f t="shared" si="43"/>
        <v>0</v>
      </c>
      <c r="H143" s="36">
        <f t="shared" si="44"/>
        <v>0</v>
      </c>
      <c r="I143" s="36">
        <f t="shared" si="45"/>
        <v>0</v>
      </c>
    </row>
    <row r="144" spans="1:15" s="31" customFormat="1" x14ac:dyDescent="0.3">
      <c r="A144" s="103"/>
      <c r="B144" s="294"/>
      <c r="C144" s="104"/>
      <c r="D144" s="104"/>
      <c r="E144" s="105"/>
      <c r="F144" s="36">
        <f t="shared" si="42"/>
        <v>0</v>
      </c>
      <c r="G144" s="36">
        <f t="shared" si="43"/>
        <v>0</v>
      </c>
      <c r="H144" s="36">
        <f t="shared" si="44"/>
        <v>0</v>
      </c>
      <c r="I144" s="36">
        <f t="shared" si="45"/>
        <v>0</v>
      </c>
    </row>
    <row r="145" spans="1:15" s="31" customFormat="1" x14ac:dyDescent="0.3">
      <c r="A145" s="103"/>
      <c r="B145" s="294"/>
      <c r="C145" s="104"/>
      <c r="D145" s="104"/>
      <c r="E145" s="105"/>
      <c r="F145" s="36">
        <f t="shared" si="42"/>
        <v>0</v>
      </c>
      <c r="G145" s="36">
        <f t="shared" si="43"/>
        <v>0</v>
      </c>
      <c r="H145" s="36">
        <f t="shared" si="44"/>
        <v>0</v>
      </c>
      <c r="I145" s="36">
        <f t="shared" si="45"/>
        <v>0</v>
      </c>
    </row>
    <row r="146" spans="1:15" s="31" customFormat="1" x14ac:dyDescent="0.3">
      <c r="A146" s="103"/>
      <c r="B146" s="294"/>
      <c r="C146" s="104"/>
      <c r="D146" s="104"/>
      <c r="E146" s="105"/>
      <c r="F146" s="36">
        <f t="shared" si="42"/>
        <v>0</v>
      </c>
      <c r="G146" s="36">
        <f t="shared" si="43"/>
        <v>0</v>
      </c>
      <c r="H146" s="36">
        <f t="shared" si="44"/>
        <v>0</v>
      </c>
      <c r="I146" s="36">
        <f t="shared" si="45"/>
        <v>0</v>
      </c>
    </row>
    <row r="147" spans="1:15" s="31" customFormat="1" x14ac:dyDescent="0.3">
      <c r="A147" s="106"/>
      <c r="B147" s="296"/>
      <c r="C147" s="107"/>
      <c r="D147" s="107"/>
      <c r="E147" s="108"/>
      <c r="F147" s="36">
        <f t="shared" si="42"/>
        <v>0</v>
      </c>
      <c r="G147" s="36">
        <f t="shared" si="43"/>
        <v>0</v>
      </c>
      <c r="H147" s="36">
        <f t="shared" si="44"/>
        <v>0</v>
      </c>
      <c r="I147" s="36">
        <f t="shared" si="45"/>
        <v>0</v>
      </c>
      <c r="J147" s="56" t="s">
        <v>108</v>
      </c>
      <c r="K147" s="55" t="s">
        <v>109</v>
      </c>
    </row>
    <row r="148" spans="1:15" s="31" customFormat="1" x14ac:dyDescent="0.3">
      <c r="B148" s="99"/>
      <c r="D148" s="32"/>
      <c r="E148" s="36"/>
      <c r="F148" s="54">
        <f>SUM(F140:F147)</f>
        <v>10000</v>
      </c>
      <c r="G148" s="54">
        <f>SUM(G140:G147)</f>
        <v>12000</v>
      </c>
      <c r="H148" s="54">
        <f>SUM(H140:H147)</f>
        <v>12000</v>
      </c>
      <c r="I148" s="54">
        <f>SUM(I140:I147)</f>
        <v>12000</v>
      </c>
      <c r="J148" s="54">
        <f>F148</f>
        <v>10000</v>
      </c>
      <c r="K148" s="34">
        <f>I148</f>
        <v>12000</v>
      </c>
      <c r="L148" s="155">
        <f>IF(F148=0,0,(I148-F148)/F148)</f>
        <v>0.2</v>
      </c>
      <c r="M148" s="120">
        <f>SUM(I140:I147)-SUM(F140:F147)</f>
        <v>2000</v>
      </c>
      <c r="N148" s="86"/>
    </row>
    <row r="149" spans="1:15" ht="15.6" x14ac:dyDescent="0.3">
      <c r="A149" s="261" t="str">
        <f>'Installation 1'!B284</f>
        <v>3,200m of 560 PN10 PE100 SDR21</v>
      </c>
      <c r="B149" s="293"/>
      <c r="C149" s="112"/>
      <c r="D149" s="113"/>
      <c r="E149" s="112"/>
      <c r="F149" s="112"/>
      <c r="G149" s="112"/>
      <c r="H149" s="112"/>
      <c r="I149" s="112"/>
      <c r="J149" s="112"/>
      <c r="K149" s="112"/>
      <c r="L149" s="112"/>
      <c r="M149" s="112"/>
      <c r="O149"/>
    </row>
    <row r="150" spans="1:15" s="31" customFormat="1" ht="27.6" x14ac:dyDescent="0.3">
      <c r="A150" s="47" t="s">
        <v>184</v>
      </c>
      <c r="B150" s="290" t="s">
        <v>185</v>
      </c>
      <c r="C150" s="74" t="s">
        <v>47</v>
      </c>
      <c r="D150" s="74" t="s">
        <v>186</v>
      </c>
      <c r="E150" s="75" t="s">
        <v>193</v>
      </c>
      <c r="F150" s="48" t="s">
        <v>22</v>
      </c>
      <c r="G150" s="49" t="s">
        <v>194</v>
      </c>
      <c r="H150" s="49" t="s">
        <v>23</v>
      </c>
      <c r="I150" s="50" t="s">
        <v>100</v>
      </c>
    </row>
    <row r="151" spans="1:15" s="31" customFormat="1" x14ac:dyDescent="0.3">
      <c r="A151" s="305" t="s">
        <v>190</v>
      </c>
      <c r="B151" s="308" t="s">
        <v>196</v>
      </c>
      <c r="C151" s="306">
        <v>1</v>
      </c>
      <c r="D151" s="306" t="s">
        <v>57</v>
      </c>
      <c r="E151" s="307">
        <v>2000</v>
      </c>
      <c r="F151" s="36">
        <f t="shared" ref="F151:F158" si="46">C151*E151</f>
        <v>2000</v>
      </c>
      <c r="G151" s="36">
        <f t="shared" ref="G151:G158" si="47">IF(A151="",0,E151*(1+VLOOKUP(A151,$O$5:$P$9,2,FALSE)))</f>
        <v>2400</v>
      </c>
      <c r="H151" s="36">
        <f>C151*G151</f>
        <v>2400</v>
      </c>
      <c r="I151" s="36">
        <f>IF(OR($P$15=0,$P$15=""),H151*1,H151*(1+$P$15))</f>
        <v>2400</v>
      </c>
    </row>
    <row r="152" spans="1:15" s="31" customFormat="1" x14ac:dyDescent="0.3">
      <c r="A152" s="305" t="s">
        <v>190</v>
      </c>
      <c r="B152" s="308" t="s">
        <v>197</v>
      </c>
      <c r="C152" s="306">
        <v>1</v>
      </c>
      <c r="D152" s="306" t="s">
        <v>57</v>
      </c>
      <c r="E152" s="307">
        <v>2000</v>
      </c>
      <c r="F152" s="36">
        <f t="shared" si="46"/>
        <v>2000</v>
      </c>
      <c r="G152" s="36">
        <f t="shared" si="47"/>
        <v>2400</v>
      </c>
      <c r="H152" s="36">
        <f t="shared" ref="H152:H158" si="48">C152*G152</f>
        <v>2400</v>
      </c>
      <c r="I152" s="36">
        <f t="shared" ref="I152:I158" si="49">IF(OR($P$15=0,$P$15=""),H152*1,H152*(1+$P$15))</f>
        <v>2400</v>
      </c>
    </row>
    <row r="153" spans="1:15" s="31" customFormat="1" x14ac:dyDescent="0.3">
      <c r="A153" s="103" t="s">
        <v>190</v>
      </c>
      <c r="B153" s="339" t="s">
        <v>198</v>
      </c>
      <c r="C153" s="139">
        <v>1</v>
      </c>
      <c r="D153" s="139" t="s">
        <v>57</v>
      </c>
      <c r="E153" s="105">
        <v>1000</v>
      </c>
      <c r="F153" s="36">
        <f t="shared" si="46"/>
        <v>1000</v>
      </c>
      <c r="G153" s="36">
        <f t="shared" si="47"/>
        <v>1200</v>
      </c>
      <c r="H153" s="36">
        <f t="shared" si="48"/>
        <v>1200</v>
      </c>
      <c r="I153" s="36">
        <f t="shared" si="49"/>
        <v>1200</v>
      </c>
    </row>
    <row r="154" spans="1:15" s="31" customFormat="1" x14ac:dyDescent="0.3">
      <c r="A154" s="101"/>
      <c r="B154" s="294"/>
      <c r="C154" s="104"/>
      <c r="D154" s="104"/>
      <c r="E154" s="105"/>
      <c r="F154" s="36">
        <f t="shared" si="46"/>
        <v>0</v>
      </c>
      <c r="G154" s="36">
        <f t="shared" si="47"/>
        <v>0</v>
      </c>
      <c r="H154" s="36">
        <f t="shared" si="48"/>
        <v>0</v>
      </c>
      <c r="I154" s="36">
        <f t="shared" si="49"/>
        <v>0</v>
      </c>
    </row>
    <row r="155" spans="1:15" s="31" customFormat="1" x14ac:dyDescent="0.3">
      <c r="A155" s="103"/>
      <c r="B155" s="294"/>
      <c r="C155" s="104"/>
      <c r="D155" s="104"/>
      <c r="E155" s="105"/>
      <c r="F155" s="36">
        <f t="shared" si="46"/>
        <v>0</v>
      </c>
      <c r="G155" s="36">
        <f t="shared" si="47"/>
        <v>0</v>
      </c>
      <c r="H155" s="36">
        <f t="shared" si="48"/>
        <v>0</v>
      </c>
      <c r="I155" s="36">
        <f t="shared" si="49"/>
        <v>0</v>
      </c>
    </row>
    <row r="156" spans="1:15" s="31" customFormat="1" x14ac:dyDescent="0.3">
      <c r="A156" s="103"/>
      <c r="B156" s="294"/>
      <c r="C156" s="104"/>
      <c r="D156" s="104"/>
      <c r="E156" s="105"/>
      <c r="F156" s="36">
        <f t="shared" si="46"/>
        <v>0</v>
      </c>
      <c r="G156" s="36">
        <f t="shared" si="47"/>
        <v>0</v>
      </c>
      <c r="H156" s="36">
        <f t="shared" si="48"/>
        <v>0</v>
      </c>
      <c r="I156" s="36">
        <f t="shared" si="49"/>
        <v>0</v>
      </c>
    </row>
    <row r="157" spans="1:15" s="31" customFormat="1" x14ac:dyDescent="0.3">
      <c r="A157" s="103"/>
      <c r="B157" s="294"/>
      <c r="C157" s="104"/>
      <c r="D157" s="104"/>
      <c r="E157" s="105"/>
      <c r="F157" s="36">
        <f t="shared" si="46"/>
        <v>0</v>
      </c>
      <c r="G157" s="36">
        <f t="shared" si="47"/>
        <v>0</v>
      </c>
      <c r="H157" s="36">
        <f t="shared" si="48"/>
        <v>0</v>
      </c>
      <c r="I157" s="36">
        <f t="shared" si="49"/>
        <v>0</v>
      </c>
    </row>
    <row r="158" spans="1:15" s="31" customFormat="1" x14ac:dyDescent="0.3">
      <c r="A158" s="106"/>
      <c r="B158" s="296"/>
      <c r="C158" s="107"/>
      <c r="D158" s="107"/>
      <c r="E158" s="108"/>
      <c r="F158" s="36">
        <f t="shared" si="46"/>
        <v>0</v>
      </c>
      <c r="G158" s="36">
        <f t="shared" si="47"/>
        <v>0</v>
      </c>
      <c r="H158" s="36">
        <f t="shared" si="48"/>
        <v>0</v>
      </c>
      <c r="I158" s="36">
        <f t="shared" si="49"/>
        <v>0</v>
      </c>
      <c r="J158" s="56" t="s">
        <v>108</v>
      </c>
      <c r="K158" s="55" t="s">
        <v>109</v>
      </c>
    </row>
    <row r="159" spans="1:15" s="31" customFormat="1" x14ac:dyDescent="0.3">
      <c r="B159" s="99"/>
      <c r="D159" s="32"/>
      <c r="E159" s="36"/>
      <c r="F159" s="54">
        <f>SUM(F151:F158)</f>
        <v>5000</v>
      </c>
      <c r="G159" s="54">
        <f>SUM(G151:G158)</f>
        <v>6000</v>
      </c>
      <c r="H159" s="54">
        <f>SUM(H151:H158)</f>
        <v>6000</v>
      </c>
      <c r="I159" s="54">
        <f>SUM(I151:I158)</f>
        <v>6000</v>
      </c>
      <c r="J159" s="54">
        <f>F159</f>
        <v>5000</v>
      </c>
      <c r="K159" s="34">
        <f>I159</f>
        <v>6000</v>
      </c>
      <c r="L159" s="155">
        <f>IF(F159=0,0,(I159-F159)/F159)</f>
        <v>0.2</v>
      </c>
      <c r="M159" s="120">
        <f>SUM(I151:I158)-SUM(F151:F158)</f>
        <v>1000</v>
      </c>
      <c r="N159" s="86"/>
    </row>
    <row r="160" spans="1:15" ht="15.6" x14ac:dyDescent="0.3">
      <c r="A160" s="261" t="str">
        <f>'Installation 1'!B312</f>
        <v>Supply &amp; Install 3x Standpipe</v>
      </c>
      <c r="B160" s="293"/>
      <c r="C160" s="112"/>
      <c r="D160" s="113"/>
      <c r="E160" s="112"/>
      <c r="F160" s="112"/>
      <c r="G160" s="112"/>
      <c r="H160" s="112"/>
      <c r="I160" s="112"/>
      <c r="J160" s="112"/>
      <c r="K160" s="112"/>
      <c r="L160" s="112"/>
      <c r="M160" s="112"/>
      <c r="O160"/>
    </row>
    <row r="161" spans="1:15" s="31" customFormat="1" ht="27.6" x14ac:dyDescent="0.3">
      <c r="A161" s="47" t="s">
        <v>184</v>
      </c>
      <c r="B161" s="290" t="s">
        <v>185</v>
      </c>
      <c r="C161" s="74" t="s">
        <v>47</v>
      </c>
      <c r="D161" s="74" t="s">
        <v>186</v>
      </c>
      <c r="E161" s="75" t="s">
        <v>193</v>
      </c>
      <c r="F161" s="48" t="s">
        <v>22</v>
      </c>
      <c r="G161" s="49" t="s">
        <v>194</v>
      </c>
      <c r="H161" s="49" t="s">
        <v>23</v>
      </c>
      <c r="I161" s="50" t="s">
        <v>100</v>
      </c>
    </row>
    <row r="162" spans="1:15" s="31" customFormat="1" x14ac:dyDescent="0.3">
      <c r="A162" s="103" t="s">
        <v>190</v>
      </c>
      <c r="B162" s="294" t="s">
        <v>380</v>
      </c>
      <c r="C162" s="104">
        <v>3</v>
      </c>
      <c r="D162" s="104" t="s">
        <v>57</v>
      </c>
      <c r="E162" s="105">
        <v>15485</v>
      </c>
      <c r="F162" s="36">
        <f t="shared" ref="F162:F169" si="50">C162*E162</f>
        <v>46455</v>
      </c>
      <c r="G162" s="36">
        <f t="shared" ref="G162:G169" si="51">IF(A162="",0,E162*(1+VLOOKUP(A162,$O$5:$P$9,2,FALSE)))</f>
        <v>18582</v>
      </c>
      <c r="H162" s="36">
        <f>C162*G162</f>
        <v>55746</v>
      </c>
      <c r="I162" s="36">
        <f>IF(OR($P$15=0,$P$15=""),H162*1,H162*(1+$P$15))</f>
        <v>55746</v>
      </c>
    </row>
    <row r="163" spans="1:15" s="31" customFormat="1" x14ac:dyDescent="0.3">
      <c r="A163" s="103"/>
      <c r="B163" s="294"/>
      <c r="C163" s="104"/>
      <c r="D163" s="104"/>
      <c r="E163" s="105"/>
      <c r="F163" s="36">
        <f t="shared" si="50"/>
        <v>0</v>
      </c>
      <c r="G163" s="36">
        <f t="shared" si="51"/>
        <v>0</v>
      </c>
      <c r="H163" s="36">
        <f t="shared" ref="H163:H169" si="52">C163*G163</f>
        <v>0</v>
      </c>
      <c r="I163" s="36">
        <f t="shared" ref="I163:I169" si="53">IF(OR($P$15=0,$P$15=""),H163*1,H163*(1+$P$15))</f>
        <v>0</v>
      </c>
    </row>
    <row r="164" spans="1:15" s="31" customFormat="1" x14ac:dyDescent="0.3">
      <c r="A164" s="103"/>
      <c r="B164" s="294"/>
      <c r="C164" s="104"/>
      <c r="D164" s="104"/>
      <c r="E164" s="105"/>
      <c r="F164" s="36">
        <f t="shared" si="50"/>
        <v>0</v>
      </c>
      <c r="G164" s="36">
        <f t="shared" si="51"/>
        <v>0</v>
      </c>
      <c r="H164" s="36">
        <f t="shared" si="52"/>
        <v>0</v>
      </c>
      <c r="I164" s="36">
        <f t="shared" si="53"/>
        <v>0</v>
      </c>
    </row>
    <row r="165" spans="1:15" s="31" customFormat="1" x14ac:dyDescent="0.3">
      <c r="A165" s="103"/>
      <c r="B165" s="294"/>
      <c r="C165" s="104"/>
      <c r="D165" s="104"/>
      <c r="E165" s="105"/>
      <c r="F165" s="36">
        <f t="shared" si="50"/>
        <v>0</v>
      </c>
      <c r="G165" s="36">
        <f t="shared" si="51"/>
        <v>0</v>
      </c>
      <c r="H165" s="36">
        <f t="shared" si="52"/>
        <v>0</v>
      </c>
      <c r="I165" s="36">
        <f t="shared" si="53"/>
        <v>0</v>
      </c>
    </row>
    <row r="166" spans="1:15" s="31" customFormat="1" x14ac:dyDescent="0.3">
      <c r="A166" s="103"/>
      <c r="B166" s="294"/>
      <c r="C166" s="104"/>
      <c r="D166" s="104"/>
      <c r="E166" s="105"/>
      <c r="F166" s="36">
        <f t="shared" si="50"/>
        <v>0</v>
      </c>
      <c r="G166" s="36">
        <f t="shared" si="51"/>
        <v>0</v>
      </c>
      <c r="H166" s="36">
        <f t="shared" si="52"/>
        <v>0</v>
      </c>
      <c r="I166" s="36">
        <f t="shared" si="53"/>
        <v>0</v>
      </c>
    </row>
    <row r="167" spans="1:15" s="31" customFormat="1" x14ac:dyDescent="0.3">
      <c r="A167" s="103"/>
      <c r="B167" s="294"/>
      <c r="C167" s="104"/>
      <c r="D167" s="104"/>
      <c r="E167" s="105"/>
      <c r="F167" s="36">
        <f t="shared" si="50"/>
        <v>0</v>
      </c>
      <c r="G167" s="36">
        <f t="shared" si="51"/>
        <v>0</v>
      </c>
      <c r="H167" s="36">
        <f t="shared" si="52"/>
        <v>0</v>
      </c>
      <c r="I167" s="36">
        <f t="shared" si="53"/>
        <v>0</v>
      </c>
    </row>
    <row r="168" spans="1:15" s="31" customFormat="1" x14ac:dyDescent="0.3">
      <c r="A168" s="103"/>
      <c r="B168" s="294"/>
      <c r="C168" s="104"/>
      <c r="D168" s="104"/>
      <c r="E168" s="105"/>
      <c r="F168" s="36">
        <f t="shared" si="50"/>
        <v>0</v>
      </c>
      <c r="G168" s="36">
        <f t="shared" si="51"/>
        <v>0</v>
      </c>
      <c r="H168" s="36">
        <f t="shared" si="52"/>
        <v>0</v>
      </c>
      <c r="I168" s="36">
        <f t="shared" si="53"/>
        <v>0</v>
      </c>
    </row>
    <row r="169" spans="1:15" s="31" customFormat="1" x14ac:dyDescent="0.3">
      <c r="A169" s="106"/>
      <c r="B169" s="296"/>
      <c r="C169" s="107"/>
      <c r="D169" s="107"/>
      <c r="E169" s="108"/>
      <c r="F169" s="36">
        <f t="shared" si="50"/>
        <v>0</v>
      </c>
      <c r="G169" s="36">
        <f t="shared" si="51"/>
        <v>0</v>
      </c>
      <c r="H169" s="36">
        <f t="shared" si="52"/>
        <v>0</v>
      </c>
      <c r="I169" s="36">
        <f t="shared" si="53"/>
        <v>0</v>
      </c>
      <c r="J169" s="56" t="s">
        <v>108</v>
      </c>
      <c r="K169" s="55" t="s">
        <v>109</v>
      </c>
    </row>
    <row r="170" spans="1:15" s="31" customFormat="1" x14ac:dyDescent="0.3">
      <c r="B170" s="99"/>
      <c r="D170" s="32"/>
      <c r="E170" s="36"/>
      <c r="F170" s="54">
        <f>SUM(F162:F169)</f>
        <v>46455</v>
      </c>
      <c r="G170" s="54">
        <f>SUM(G162:G169)</f>
        <v>18582</v>
      </c>
      <c r="H170" s="54">
        <f>SUM(H162:H169)</f>
        <v>55746</v>
      </c>
      <c r="I170" s="54">
        <f>SUM(I162:I169)</f>
        <v>55746</v>
      </c>
      <c r="J170" s="54">
        <f>F170</f>
        <v>46455</v>
      </c>
      <c r="K170" s="34">
        <f>I170</f>
        <v>55746</v>
      </c>
      <c r="L170" s="155">
        <f>IF(F170=0,0,(I170-F170)/F170)</f>
        <v>0.2</v>
      </c>
      <c r="M170" s="120">
        <f>SUM(I162:I169)-SUM(F162:F169)</f>
        <v>9291</v>
      </c>
      <c r="N170" s="86"/>
    </row>
    <row r="171" spans="1:15" ht="15.6" x14ac:dyDescent="0.3">
      <c r="A171" s="261">
        <f>'Installation 1'!B340</f>
        <v>0</v>
      </c>
      <c r="B171" s="293"/>
      <c r="C171" s="112"/>
      <c r="D171" s="113"/>
      <c r="E171" s="112"/>
      <c r="F171" s="112"/>
      <c r="G171" s="112"/>
      <c r="H171" s="112"/>
      <c r="I171" s="112"/>
      <c r="J171" s="112"/>
      <c r="K171" s="112"/>
      <c r="L171" s="112"/>
      <c r="M171" s="112"/>
      <c r="O171"/>
    </row>
    <row r="172" spans="1:15" s="31" customFormat="1" ht="27.6" x14ac:dyDescent="0.3">
      <c r="A172" s="47" t="s">
        <v>184</v>
      </c>
      <c r="B172" s="290" t="s">
        <v>185</v>
      </c>
      <c r="C172" s="74" t="s">
        <v>47</v>
      </c>
      <c r="D172" s="74" t="s">
        <v>186</v>
      </c>
      <c r="E172" s="75" t="s">
        <v>193</v>
      </c>
      <c r="F172" s="48" t="s">
        <v>22</v>
      </c>
      <c r="G172" s="49" t="s">
        <v>194</v>
      </c>
      <c r="H172" s="49" t="s">
        <v>23</v>
      </c>
      <c r="I172" s="50" t="s">
        <v>100</v>
      </c>
    </row>
    <row r="173" spans="1:15" s="31" customFormat="1" x14ac:dyDescent="0.3">
      <c r="A173" s="103"/>
      <c r="B173" s="294"/>
      <c r="C173" s="104"/>
      <c r="D173" s="104"/>
      <c r="E173" s="105"/>
      <c r="F173" s="36">
        <f t="shared" ref="F173:F180" si="54">C173*E173</f>
        <v>0</v>
      </c>
      <c r="G173" s="36">
        <f t="shared" ref="G173:G180" si="55">IF(A173="",0,E173*(1+VLOOKUP(A173,$O$5:$P$9,2,FALSE)))</f>
        <v>0</v>
      </c>
      <c r="H173" s="36">
        <f>C173*G173</f>
        <v>0</v>
      </c>
      <c r="I173" s="36">
        <f>IF(OR($P$15=0,$P$15=""),H173*1,H173*(1+$P$15))</f>
        <v>0</v>
      </c>
    </row>
    <row r="174" spans="1:15" s="31" customFormat="1" x14ac:dyDescent="0.3">
      <c r="A174" s="103"/>
      <c r="B174" s="294"/>
      <c r="C174" s="104"/>
      <c r="D174" s="104"/>
      <c r="E174" s="105"/>
      <c r="F174" s="36">
        <f t="shared" si="54"/>
        <v>0</v>
      </c>
      <c r="G174" s="36">
        <f t="shared" si="55"/>
        <v>0</v>
      </c>
      <c r="H174" s="36">
        <f t="shared" ref="H174:H180" si="56">C174*G174</f>
        <v>0</v>
      </c>
      <c r="I174" s="36">
        <f t="shared" ref="I174:I180" si="57">IF(OR($P$15=0,$P$15=""),H174*1,H174*(1+$P$15))</f>
        <v>0</v>
      </c>
    </row>
    <row r="175" spans="1:15" s="31" customFormat="1" x14ac:dyDescent="0.3">
      <c r="A175" s="103"/>
      <c r="B175" s="294"/>
      <c r="C175" s="104"/>
      <c r="D175" s="104"/>
      <c r="E175" s="105"/>
      <c r="F175" s="36">
        <f t="shared" si="54"/>
        <v>0</v>
      </c>
      <c r="G175" s="36">
        <f t="shared" si="55"/>
        <v>0</v>
      </c>
      <c r="H175" s="36">
        <f t="shared" si="56"/>
        <v>0</v>
      </c>
      <c r="I175" s="36">
        <f t="shared" si="57"/>
        <v>0</v>
      </c>
    </row>
    <row r="176" spans="1:15" s="31" customFormat="1" x14ac:dyDescent="0.3">
      <c r="A176" s="103"/>
      <c r="B176" s="294"/>
      <c r="C176" s="104"/>
      <c r="D176" s="104"/>
      <c r="E176" s="105"/>
      <c r="F176" s="36">
        <f t="shared" si="54"/>
        <v>0</v>
      </c>
      <c r="G176" s="36">
        <f t="shared" si="55"/>
        <v>0</v>
      </c>
      <c r="H176" s="36">
        <f t="shared" si="56"/>
        <v>0</v>
      </c>
      <c r="I176" s="36">
        <f t="shared" si="57"/>
        <v>0</v>
      </c>
    </row>
    <row r="177" spans="1:15" s="31" customFormat="1" x14ac:dyDescent="0.3">
      <c r="A177" s="103"/>
      <c r="B177" s="294"/>
      <c r="C177" s="104"/>
      <c r="D177" s="104"/>
      <c r="E177" s="105"/>
      <c r="F177" s="36">
        <f t="shared" si="54"/>
        <v>0</v>
      </c>
      <c r="G177" s="36">
        <f t="shared" si="55"/>
        <v>0</v>
      </c>
      <c r="H177" s="36">
        <f t="shared" si="56"/>
        <v>0</v>
      </c>
      <c r="I177" s="36">
        <f t="shared" si="57"/>
        <v>0</v>
      </c>
    </row>
    <row r="178" spans="1:15" s="31" customFormat="1" x14ac:dyDescent="0.3">
      <c r="A178" s="103"/>
      <c r="B178" s="294"/>
      <c r="C178" s="104"/>
      <c r="D178" s="104"/>
      <c r="E178" s="105"/>
      <c r="F178" s="36">
        <f t="shared" si="54"/>
        <v>0</v>
      </c>
      <c r="G178" s="36">
        <f t="shared" si="55"/>
        <v>0</v>
      </c>
      <c r="H178" s="36">
        <f t="shared" si="56"/>
        <v>0</v>
      </c>
      <c r="I178" s="36">
        <f t="shared" si="57"/>
        <v>0</v>
      </c>
    </row>
    <row r="179" spans="1:15" s="31" customFormat="1" x14ac:dyDescent="0.3">
      <c r="A179" s="103"/>
      <c r="B179" s="294"/>
      <c r="C179" s="104"/>
      <c r="D179" s="104"/>
      <c r="E179" s="105"/>
      <c r="F179" s="36">
        <f t="shared" si="54"/>
        <v>0</v>
      </c>
      <c r="G179" s="36">
        <f t="shared" si="55"/>
        <v>0</v>
      </c>
      <c r="H179" s="36">
        <f t="shared" si="56"/>
        <v>0</v>
      </c>
      <c r="I179" s="36">
        <f t="shared" si="57"/>
        <v>0</v>
      </c>
    </row>
    <row r="180" spans="1:15" s="31" customFormat="1" x14ac:dyDescent="0.3">
      <c r="A180" s="106"/>
      <c r="B180" s="296"/>
      <c r="C180" s="107"/>
      <c r="D180" s="107"/>
      <c r="E180" s="108"/>
      <c r="F180" s="36">
        <f t="shared" si="54"/>
        <v>0</v>
      </c>
      <c r="G180" s="36">
        <f t="shared" si="55"/>
        <v>0</v>
      </c>
      <c r="H180" s="36">
        <f t="shared" si="56"/>
        <v>0</v>
      </c>
      <c r="I180" s="36">
        <f t="shared" si="57"/>
        <v>0</v>
      </c>
      <c r="J180" s="56" t="s">
        <v>108</v>
      </c>
      <c r="K180" s="55" t="s">
        <v>109</v>
      </c>
    </row>
    <row r="181" spans="1:15" s="31" customFormat="1" x14ac:dyDescent="0.3">
      <c r="B181" s="99"/>
      <c r="D181" s="32"/>
      <c r="E181" s="36"/>
      <c r="F181" s="54">
        <f>SUM(F173:F180)</f>
        <v>0</v>
      </c>
      <c r="G181" s="54">
        <f>SUM(G173:G180)</f>
        <v>0</v>
      </c>
      <c r="H181" s="54">
        <f>SUM(H173:H180)</f>
        <v>0</v>
      </c>
      <c r="I181" s="54">
        <f>SUM(I173:I180)</f>
        <v>0</v>
      </c>
      <c r="J181" s="54">
        <f>F181</f>
        <v>0</v>
      </c>
      <c r="K181" s="34">
        <f>I181</f>
        <v>0</v>
      </c>
      <c r="L181" s="155">
        <f>IF(F181=0,0,(I181-F181)/F181)</f>
        <v>0</v>
      </c>
      <c r="M181" s="120">
        <f>SUM(I173:I180)-SUM(F173:F180)</f>
        <v>0</v>
      </c>
      <c r="N181" s="86"/>
    </row>
    <row r="182" spans="1:15" ht="15.6" x14ac:dyDescent="0.3">
      <c r="A182" s="261" t="str">
        <f>'Installation 1'!B368</f>
        <v>#14</v>
      </c>
      <c r="B182" s="293"/>
      <c r="C182" s="112"/>
      <c r="D182" s="113"/>
      <c r="E182" s="112"/>
      <c r="F182" s="112"/>
      <c r="G182" s="112"/>
      <c r="H182" s="112"/>
      <c r="I182" s="112"/>
      <c r="J182" s="112"/>
      <c r="K182" s="112"/>
      <c r="L182" s="112"/>
      <c r="M182" s="112"/>
      <c r="O182"/>
    </row>
    <row r="183" spans="1:15" s="31" customFormat="1" ht="27.6" x14ac:dyDescent="0.3">
      <c r="A183" s="47" t="s">
        <v>184</v>
      </c>
      <c r="B183" s="290" t="s">
        <v>185</v>
      </c>
      <c r="C183" s="74" t="s">
        <v>47</v>
      </c>
      <c r="D183" s="74" t="s">
        <v>186</v>
      </c>
      <c r="E183" s="75" t="s">
        <v>193</v>
      </c>
      <c r="F183" s="48" t="s">
        <v>22</v>
      </c>
      <c r="G183" s="49" t="s">
        <v>194</v>
      </c>
      <c r="H183" s="49" t="s">
        <v>23</v>
      </c>
      <c r="I183" s="50" t="s">
        <v>100</v>
      </c>
    </row>
    <row r="184" spans="1:15" s="31" customFormat="1" x14ac:dyDescent="0.3">
      <c r="A184" s="103"/>
      <c r="B184" s="294"/>
      <c r="C184" s="104"/>
      <c r="D184" s="104"/>
      <c r="E184" s="105"/>
      <c r="F184" s="36">
        <f t="shared" ref="F184:F191" si="58">C184*E184</f>
        <v>0</v>
      </c>
      <c r="G184" s="36">
        <f t="shared" ref="G184:G191" si="59">IF(A184="",0,E184*(1+VLOOKUP(A184,$O$5:$P$9,2,FALSE)))</f>
        <v>0</v>
      </c>
      <c r="H184" s="36">
        <f>C184*G184</f>
        <v>0</v>
      </c>
      <c r="I184" s="36">
        <f>IF(OR($P$15=0,$P$15=""),H184*1,H184*(1+$P$15))</f>
        <v>0</v>
      </c>
    </row>
    <row r="185" spans="1:15" s="31" customFormat="1" x14ac:dyDescent="0.3">
      <c r="A185" s="103"/>
      <c r="B185" s="294"/>
      <c r="C185" s="104"/>
      <c r="D185" s="104"/>
      <c r="E185" s="105"/>
      <c r="F185" s="36">
        <f t="shared" si="58"/>
        <v>0</v>
      </c>
      <c r="G185" s="36">
        <f t="shared" si="59"/>
        <v>0</v>
      </c>
      <c r="H185" s="36">
        <f t="shared" ref="H185:H191" si="60">C185*G185</f>
        <v>0</v>
      </c>
      <c r="I185" s="36">
        <f t="shared" ref="I185:I191" si="61">IF(OR($P$15=0,$P$15=""),H185*1,H185*(1+$P$15))</f>
        <v>0</v>
      </c>
    </row>
    <row r="186" spans="1:15" s="31" customFormat="1" x14ac:dyDescent="0.3">
      <c r="A186" s="103"/>
      <c r="B186" s="294"/>
      <c r="C186" s="104"/>
      <c r="D186" s="104"/>
      <c r="E186" s="105"/>
      <c r="F186" s="36">
        <f t="shared" si="58"/>
        <v>0</v>
      </c>
      <c r="G186" s="36">
        <f t="shared" si="59"/>
        <v>0</v>
      </c>
      <c r="H186" s="36">
        <f t="shared" si="60"/>
        <v>0</v>
      </c>
      <c r="I186" s="36">
        <f t="shared" si="61"/>
        <v>0</v>
      </c>
    </row>
    <row r="187" spans="1:15" s="31" customFormat="1" x14ac:dyDescent="0.3">
      <c r="A187" s="103"/>
      <c r="B187" s="294"/>
      <c r="C187" s="104"/>
      <c r="D187" s="104"/>
      <c r="E187" s="105"/>
      <c r="F187" s="36">
        <f t="shared" si="58"/>
        <v>0</v>
      </c>
      <c r="G187" s="36">
        <f t="shared" si="59"/>
        <v>0</v>
      </c>
      <c r="H187" s="36">
        <f t="shared" si="60"/>
        <v>0</v>
      </c>
      <c r="I187" s="36">
        <f t="shared" si="61"/>
        <v>0</v>
      </c>
    </row>
    <row r="188" spans="1:15" s="31" customFormat="1" x14ac:dyDescent="0.3">
      <c r="A188" s="103"/>
      <c r="B188" s="294"/>
      <c r="C188" s="104"/>
      <c r="D188" s="104"/>
      <c r="E188" s="105"/>
      <c r="F188" s="36">
        <f t="shared" si="58"/>
        <v>0</v>
      </c>
      <c r="G188" s="36">
        <f t="shared" si="59"/>
        <v>0</v>
      </c>
      <c r="H188" s="36">
        <f t="shared" si="60"/>
        <v>0</v>
      </c>
      <c r="I188" s="36">
        <f t="shared" si="61"/>
        <v>0</v>
      </c>
    </row>
    <row r="189" spans="1:15" s="31" customFormat="1" x14ac:dyDescent="0.3">
      <c r="A189" s="103"/>
      <c r="B189" s="294"/>
      <c r="C189" s="104"/>
      <c r="D189" s="104"/>
      <c r="E189" s="105"/>
      <c r="F189" s="36">
        <f t="shared" si="58"/>
        <v>0</v>
      </c>
      <c r="G189" s="36">
        <f t="shared" si="59"/>
        <v>0</v>
      </c>
      <c r="H189" s="36">
        <f t="shared" si="60"/>
        <v>0</v>
      </c>
      <c r="I189" s="36">
        <f t="shared" si="61"/>
        <v>0</v>
      </c>
    </row>
    <row r="190" spans="1:15" s="31" customFormat="1" x14ac:dyDescent="0.3">
      <c r="A190" s="103"/>
      <c r="B190" s="294"/>
      <c r="C190" s="104"/>
      <c r="D190" s="104"/>
      <c r="E190" s="105"/>
      <c r="F190" s="36">
        <f t="shared" si="58"/>
        <v>0</v>
      </c>
      <c r="G190" s="36">
        <f t="shared" si="59"/>
        <v>0</v>
      </c>
      <c r="H190" s="36">
        <f t="shared" si="60"/>
        <v>0</v>
      </c>
      <c r="I190" s="36">
        <f t="shared" si="61"/>
        <v>0</v>
      </c>
    </row>
    <row r="191" spans="1:15" s="31" customFormat="1" x14ac:dyDescent="0.3">
      <c r="A191" s="106"/>
      <c r="B191" s="296"/>
      <c r="C191" s="107"/>
      <c r="D191" s="107"/>
      <c r="E191" s="108"/>
      <c r="F191" s="36">
        <f t="shared" si="58"/>
        <v>0</v>
      </c>
      <c r="G191" s="36">
        <f t="shared" si="59"/>
        <v>0</v>
      </c>
      <c r="H191" s="36">
        <f t="shared" si="60"/>
        <v>0</v>
      </c>
      <c r="I191" s="36">
        <f t="shared" si="61"/>
        <v>0</v>
      </c>
      <c r="J191" s="56" t="s">
        <v>108</v>
      </c>
      <c r="K191" s="55" t="s">
        <v>109</v>
      </c>
    </row>
    <row r="192" spans="1:15" s="31" customFormat="1" x14ac:dyDescent="0.3">
      <c r="B192" s="99"/>
      <c r="D192" s="32"/>
      <c r="E192" s="36"/>
      <c r="F192" s="54">
        <f>SUM(F184:F191)</f>
        <v>0</v>
      </c>
      <c r="G192" s="54">
        <f>SUM(G184:G191)</f>
        <v>0</v>
      </c>
      <c r="H192" s="54">
        <f>SUM(H184:H191)</f>
        <v>0</v>
      </c>
      <c r="I192" s="54">
        <f>SUM(I184:I191)</f>
        <v>0</v>
      </c>
      <c r="J192" s="54">
        <f>F192</f>
        <v>0</v>
      </c>
      <c r="K192" s="34">
        <f>I192</f>
        <v>0</v>
      </c>
      <c r="L192" s="155">
        <f>IF(F192=0,0,(I192-F192)/F192)</f>
        <v>0</v>
      </c>
      <c r="M192" s="120">
        <f>SUM(I184:I191)-SUM(F184:F191)</f>
        <v>0</v>
      </c>
      <c r="N192" s="86"/>
    </row>
    <row r="197" spans="11:11" ht="14.4" thickBot="1" x14ac:dyDescent="0.35"/>
    <row r="198" spans="11:11" ht="14.4" thickBot="1" x14ac:dyDescent="0.35">
      <c r="K198" s="329"/>
    </row>
    <row r="199" spans="11:11" ht="14.4" thickBot="1" x14ac:dyDescent="0.35">
      <c r="K199" s="330"/>
    </row>
    <row r="200" spans="11:11" ht="14.4" thickBot="1" x14ac:dyDescent="0.35">
      <c r="K200" s="330"/>
    </row>
    <row r="201" spans="11:11" ht="14.4" thickBot="1" x14ac:dyDescent="0.35">
      <c r="K201" s="330"/>
    </row>
    <row r="202" spans="11:11" ht="14.4" thickBot="1" x14ac:dyDescent="0.35">
      <c r="K202" s="330"/>
    </row>
    <row r="203" spans="11:11" ht="14.4" thickBot="1" x14ac:dyDescent="0.35">
      <c r="K203" s="330"/>
    </row>
    <row r="204" spans="11:11" ht="14.4" thickBot="1" x14ac:dyDescent="0.35">
      <c r="K204" s="330"/>
    </row>
    <row r="205" spans="11:11" ht="14.4" thickBot="1" x14ac:dyDescent="0.35">
      <c r="K205" s="330"/>
    </row>
    <row r="206" spans="11:11" ht="14.4" thickBot="1" x14ac:dyDescent="0.35">
      <c r="K206" s="330"/>
    </row>
    <row r="207" spans="11:11" ht="14.4" thickBot="1" x14ac:dyDescent="0.35">
      <c r="K207" s="330"/>
    </row>
    <row r="208" spans="11:11" ht="14.4" thickBot="1" x14ac:dyDescent="0.35">
      <c r="K208" s="330"/>
    </row>
    <row r="209" spans="11:11" ht="14.4" thickBot="1" x14ac:dyDescent="0.35">
      <c r="K209" s="330"/>
    </row>
    <row r="210" spans="11:11" ht="14.4" thickBot="1" x14ac:dyDescent="0.35">
      <c r="K210" s="330"/>
    </row>
    <row r="211" spans="11:11" ht="14.4" thickBot="1" x14ac:dyDescent="0.35">
      <c r="K211" s="330"/>
    </row>
    <row r="212" spans="11:11" x14ac:dyDescent="0.3">
      <c r="K212" s="327"/>
    </row>
  </sheetData>
  <sortState xmlns:xlrd2="http://schemas.microsoft.com/office/spreadsheetml/2017/richdata2" ref="B3:G38">
    <sortCondition ref="B3:B38"/>
    <sortCondition ref="F3:F38"/>
  </sortState>
  <conditionalFormatting sqref="M12">
    <cfRule type="expression" dxfId="0" priority="2">
      <formula>AND($J$12&gt;0,$M$12&lt;=0)</formula>
    </cfRule>
  </conditionalFormatting>
  <dataValidations count="1">
    <dataValidation type="list" allowBlank="1" showErrorMessage="1" promptTitle="Mark Up Type" prompt="Please select the type of mark up to be applied to this item." sqref="A162:A169 A184:A191 A151:A158 A75:A94 A129:A136 A140:A147 A15:A40 A5:A11 A119:A125 A173:A180 A44:A53 A57:A71 A109:A115 A98:A105" xr:uid="{00000000-0002-0000-0900-000000000000}">
      <formula1>$O$5:$O$9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&amp;C&amp;"Calibri,Bold"&amp;11&amp;UBudget Estimate Template&amp;R&amp;G</oddHeader>
    <oddFooter>&amp;L&amp;F - &amp;A&amp;CPage &amp;P of &amp;N&amp;R&amp;D</oddFooter>
  </headerFooter>
  <rowBreaks count="1" manualBreakCount="1">
    <brk id="72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7030A0"/>
    <pageSetUpPr fitToPage="1"/>
  </sheetPr>
  <dimension ref="A1:Q167"/>
  <sheetViews>
    <sheetView zoomScale="85" zoomScaleNormal="85" workbookViewId="0">
      <pane ySplit="2" topLeftCell="A46" activePane="bottomLeft" state="frozen"/>
      <selection activeCell="D17" sqref="D17"/>
      <selection pane="bottomLeft" activeCell="B37" sqref="B37"/>
    </sheetView>
  </sheetViews>
  <sheetFormatPr defaultRowHeight="13.8" x14ac:dyDescent="0.3"/>
  <cols>
    <col min="1" max="1" width="12" style="33" customWidth="1"/>
    <col min="2" max="2" width="38.77734375" style="99" bestFit="1" customWidth="1"/>
    <col min="3" max="3" width="12.77734375" style="31" customWidth="1"/>
    <col min="4" max="4" width="10.44140625" style="32" customWidth="1"/>
    <col min="5" max="5" width="12.21875" style="31" customWidth="1"/>
    <col min="6" max="6" width="14.5546875" style="31" customWidth="1"/>
    <col min="7" max="7" width="12.21875" style="31" customWidth="1"/>
    <col min="8" max="11" width="14.5546875" style="31" customWidth="1"/>
    <col min="12" max="12" width="11.21875" style="31" customWidth="1"/>
    <col min="13" max="13" width="39.44140625" style="31" customWidth="1"/>
    <col min="14" max="14" width="2.77734375" style="31" customWidth="1"/>
    <col min="15" max="15" width="9.21875" style="31"/>
  </cols>
  <sheetData>
    <row r="1" spans="1:17" ht="15.6" x14ac:dyDescent="0.3">
      <c r="A1" s="64" t="s">
        <v>213</v>
      </c>
      <c r="B1" s="291"/>
    </row>
    <row r="2" spans="1:17" x14ac:dyDescent="0.3">
      <c r="B2" s="292"/>
    </row>
    <row r="3" spans="1:17" ht="15.6" x14ac:dyDescent="0.3">
      <c r="A3" s="261" t="str">
        <f>'Subcontract 2'!B4</f>
        <v>Freight  Equipment</v>
      </c>
      <c r="B3" s="293"/>
      <c r="C3" s="111"/>
      <c r="D3" s="111"/>
      <c r="E3" s="111"/>
      <c r="F3" s="111"/>
      <c r="G3" s="111"/>
      <c r="H3" s="111"/>
      <c r="I3" s="111"/>
      <c r="J3" s="112"/>
      <c r="K3" s="112"/>
      <c r="L3" s="112"/>
      <c r="M3" s="112"/>
      <c r="Q3" s="31"/>
    </row>
    <row r="4" spans="1:17" s="31" customFormat="1" ht="27.6" x14ac:dyDescent="0.3">
      <c r="A4" s="47" t="s">
        <v>184</v>
      </c>
      <c r="B4" s="290" t="s">
        <v>185</v>
      </c>
      <c r="C4" s="74" t="s">
        <v>47</v>
      </c>
      <c r="D4" s="74" t="s">
        <v>186</v>
      </c>
      <c r="E4" s="75" t="s">
        <v>193</v>
      </c>
      <c r="F4" s="48" t="s">
        <v>22</v>
      </c>
      <c r="G4" s="49" t="s">
        <v>194</v>
      </c>
      <c r="H4" s="49" t="s">
        <v>23</v>
      </c>
      <c r="I4" s="50" t="s">
        <v>100</v>
      </c>
      <c r="J4" s="50"/>
      <c r="L4" s="48" t="s">
        <v>101</v>
      </c>
      <c r="M4" s="48" t="s">
        <v>0</v>
      </c>
      <c r="N4" s="48"/>
      <c r="O4" s="93" t="s">
        <v>85</v>
      </c>
      <c r="P4" s="94"/>
    </row>
    <row r="5" spans="1:17" s="31" customFormat="1" x14ac:dyDescent="0.3">
      <c r="A5" s="103"/>
      <c r="B5" s="294"/>
      <c r="C5" s="104"/>
      <c r="D5" s="104"/>
      <c r="E5" s="105"/>
      <c r="F5" s="36">
        <f t="shared" ref="F5:F11" si="0">C5*E5</f>
        <v>0</v>
      </c>
      <c r="G5" s="36">
        <f t="shared" ref="G5:G11" si="1">IF(A5="",0,E5*(1+VLOOKUP(A5,$O$5:$P$9,2,FALSE)))</f>
        <v>0</v>
      </c>
      <c r="H5" s="36">
        <f t="shared" ref="H5:H11" si="2">C5*G5</f>
        <v>0</v>
      </c>
      <c r="I5" s="36">
        <f t="shared" ref="I5:I11" si="3">IF(OR($P$15=0,$P$15=""),H5*1,H5*(1+$P$15))</f>
        <v>0</v>
      </c>
      <c r="O5" s="57" t="s">
        <v>190</v>
      </c>
      <c r="P5" s="58">
        <v>0.2</v>
      </c>
    </row>
    <row r="6" spans="1:17" s="31" customFormat="1" x14ac:dyDescent="0.3">
      <c r="A6" s="103" t="s">
        <v>33</v>
      </c>
      <c r="B6" s="294" t="s">
        <v>214</v>
      </c>
      <c r="C6" s="104">
        <v>6</v>
      </c>
      <c r="D6" s="104" t="s">
        <v>57</v>
      </c>
      <c r="E6" s="105">
        <v>6500</v>
      </c>
      <c r="F6" s="36">
        <f t="shared" si="0"/>
        <v>39000</v>
      </c>
      <c r="G6" s="36">
        <f t="shared" si="1"/>
        <v>7800</v>
      </c>
      <c r="H6" s="36">
        <f t="shared" si="2"/>
        <v>46800</v>
      </c>
      <c r="I6" s="36">
        <f t="shared" si="3"/>
        <v>49140</v>
      </c>
      <c r="O6" s="57" t="s">
        <v>33</v>
      </c>
      <c r="P6" s="58">
        <f>'Materials 1'!P6</f>
        <v>0.2</v>
      </c>
    </row>
    <row r="7" spans="1:17" s="31" customFormat="1" x14ac:dyDescent="0.3">
      <c r="A7" s="103" t="s">
        <v>33</v>
      </c>
      <c r="B7" s="294" t="s">
        <v>215</v>
      </c>
      <c r="C7" s="104">
        <v>1</v>
      </c>
      <c r="D7" s="104" t="s">
        <v>57</v>
      </c>
      <c r="E7" s="105">
        <v>17400</v>
      </c>
      <c r="F7" s="36">
        <f t="shared" si="0"/>
        <v>17400</v>
      </c>
      <c r="G7" s="36">
        <f t="shared" si="1"/>
        <v>20880</v>
      </c>
      <c r="H7" s="36">
        <f t="shared" si="2"/>
        <v>20880</v>
      </c>
      <c r="I7" s="36">
        <f t="shared" si="3"/>
        <v>21924</v>
      </c>
      <c r="O7" s="57" t="s">
        <v>188</v>
      </c>
      <c r="P7" s="58">
        <f>'Materials 1'!P7</f>
        <v>0.2</v>
      </c>
    </row>
    <row r="8" spans="1:17" s="31" customFormat="1" x14ac:dyDescent="0.3">
      <c r="A8" s="103"/>
      <c r="B8" s="294"/>
      <c r="C8" s="104"/>
      <c r="D8" s="104"/>
      <c r="E8" s="105"/>
      <c r="F8" s="36">
        <f t="shared" si="0"/>
        <v>0</v>
      </c>
      <c r="G8" s="36">
        <f t="shared" si="1"/>
        <v>0</v>
      </c>
      <c r="H8" s="36">
        <f t="shared" si="2"/>
        <v>0</v>
      </c>
      <c r="I8" s="36">
        <f t="shared" si="3"/>
        <v>0</v>
      </c>
      <c r="O8" s="57" t="s">
        <v>191</v>
      </c>
      <c r="P8" s="58">
        <f>'Materials 1'!P8</f>
        <v>5</v>
      </c>
    </row>
    <row r="9" spans="1:17" s="31" customFormat="1" x14ac:dyDescent="0.3">
      <c r="A9" s="103"/>
      <c r="B9" s="294"/>
      <c r="C9" s="104"/>
      <c r="D9" s="104"/>
      <c r="E9" s="105"/>
      <c r="F9" s="36">
        <f t="shared" si="0"/>
        <v>0</v>
      </c>
      <c r="G9" s="36">
        <f t="shared" si="1"/>
        <v>0</v>
      </c>
      <c r="H9" s="36">
        <f t="shared" si="2"/>
        <v>0</v>
      </c>
      <c r="I9" s="36">
        <f t="shared" si="3"/>
        <v>0</v>
      </c>
      <c r="O9" s="57" t="s">
        <v>192</v>
      </c>
      <c r="P9" s="58">
        <f>'Materials 1'!P9</f>
        <v>0</v>
      </c>
    </row>
    <row r="10" spans="1:17" s="31" customFormat="1" x14ac:dyDescent="0.3">
      <c r="A10" s="101"/>
      <c r="B10" s="294"/>
      <c r="C10" s="107"/>
      <c r="D10" s="107"/>
      <c r="E10" s="108"/>
      <c r="F10" s="36">
        <f t="shared" si="0"/>
        <v>0</v>
      </c>
      <c r="G10" s="36">
        <f t="shared" si="1"/>
        <v>0</v>
      </c>
      <c r="H10" s="36">
        <f t="shared" si="2"/>
        <v>0</v>
      </c>
      <c r="I10" s="36">
        <f t="shared" si="3"/>
        <v>0</v>
      </c>
    </row>
    <row r="11" spans="1:17" s="31" customFormat="1" x14ac:dyDescent="0.3">
      <c r="A11" s="101"/>
      <c r="B11" s="294"/>
      <c r="C11" s="107"/>
      <c r="D11" s="107"/>
      <c r="E11" s="108"/>
      <c r="F11" s="36">
        <f t="shared" si="0"/>
        <v>0</v>
      </c>
      <c r="G11" s="36">
        <f t="shared" si="1"/>
        <v>0</v>
      </c>
      <c r="H11" s="36">
        <f t="shared" si="2"/>
        <v>0</v>
      </c>
      <c r="I11" s="36">
        <f t="shared" si="3"/>
        <v>0</v>
      </c>
      <c r="J11" s="56" t="s">
        <v>108</v>
      </c>
      <c r="K11" s="55" t="s">
        <v>109</v>
      </c>
    </row>
    <row r="12" spans="1:17" s="31" customFormat="1" x14ac:dyDescent="0.3">
      <c r="A12" s="33"/>
      <c r="B12" s="99"/>
      <c r="D12" s="32"/>
      <c r="E12" s="36"/>
      <c r="F12" s="54">
        <f>SUM(F5:F11)</f>
        <v>56400</v>
      </c>
      <c r="G12" s="54">
        <f>SUM(G5:G11)</f>
        <v>28680</v>
      </c>
      <c r="H12" s="54">
        <f>SUM(H5:H11)</f>
        <v>67680</v>
      </c>
      <c r="I12" s="54">
        <f>SUM(I5:I11)</f>
        <v>71064</v>
      </c>
      <c r="J12" s="54">
        <f>F12</f>
        <v>56400</v>
      </c>
      <c r="K12" s="34">
        <f>I12</f>
        <v>71064</v>
      </c>
      <c r="L12" s="155">
        <f>IF(F12=0,0,(I12-F12)/F12)</f>
        <v>0.26</v>
      </c>
      <c r="M12" s="120">
        <f>SUM(I5:I11)-SUM(F5:F11)</f>
        <v>14664</v>
      </c>
      <c r="N12" s="86"/>
    </row>
    <row r="13" spans="1:17" ht="15.6" x14ac:dyDescent="0.3">
      <c r="A13" s="261" t="str">
        <f>'Subcontract 2'!B32</f>
        <v>Hydrostatic Testing</v>
      </c>
      <c r="B13" s="293"/>
      <c r="C13" s="112"/>
      <c r="D13" s="113"/>
      <c r="E13" s="112"/>
      <c r="F13" s="112"/>
      <c r="G13" s="112"/>
      <c r="H13" s="112"/>
      <c r="I13" s="112"/>
      <c r="J13" s="112"/>
      <c r="K13" s="112"/>
      <c r="L13" s="112"/>
      <c r="M13" s="112"/>
      <c r="P13" s="31"/>
      <c r="Q13" s="31"/>
    </row>
    <row r="14" spans="1:17" s="31" customFormat="1" ht="27.6" x14ac:dyDescent="0.3">
      <c r="A14" s="47" t="s">
        <v>184</v>
      </c>
      <c r="B14" s="290" t="s">
        <v>185</v>
      </c>
      <c r="C14" s="74" t="s">
        <v>47</v>
      </c>
      <c r="D14" s="74" t="s">
        <v>186</v>
      </c>
      <c r="E14" s="75" t="s">
        <v>193</v>
      </c>
      <c r="F14" s="48" t="s">
        <v>22</v>
      </c>
      <c r="G14" s="49" t="s">
        <v>194</v>
      </c>
      <c r="H14" s="49" t="s">
        <v>23</v>
      </c>
      <c r="I14" s="50" t="s">
        <v>100</v>
      </c>
      <c r="O14" s="93" t="s">
        <v>195</v>
      </c>
      <c r="P14" s="94"/>
    </row>
    <row r="15" spans="1:17" s="31" customFormat="1" x14ac:dyDescent="0.3">
      <c r="A15" s="103"/>
      <c r="B15" s="294"/>
      <c r="C15" s="104"/>
      <c r="D15" s="104"/>
      <c r="E15" s="105"/>
      <c r="F15" s="36">
        <f t="shared" ref="F15:F22" si="4">C15*E15</f>
        <v>0</v>
      </c>
      <c r="G15" s="36">
        <f t="shared" ref="G15:G22" si="5">IF(A15="",0,E15*(1+VLOOKUP(A15,$O$5:$P$9,2,FALSE)))</f>
        <v>0</v>
      </c>
      <c r="H15" s="36">
        <f>C15*G15</f>
        <v>0</v>
      </c>
      <c r="I15" s="36">
        <f>IF(OR($P$15=0,$P$15=""),H15*1,H15*(1+$P$15))</f>
        <v>0</v>
      </c>
      <c r="O15" s="57"/>
      <c r="P15" s="58">
        <v>0.05</v>
      </c>
    </row>
    <row r="16" spans="1:17" s="31" customFormat="1" x14ac:dyDescent="0.3">
      <c r="A16" s="103"/>
      <c r="B16" s="295"/>
      <c r="C16" s="139"/>
      <c r="D16" s="139"/>
      <c r="E16" s="105"/>
      <c r="F16" s="36">
        <f t="shared" si="4"/>
        <v>0</v>
      </c>
      <c r="G16" s="36">
        <f t="shared" si="5"/>
        <v>0</v>
      </c>
      <c r="H16" s="36">
        <f t="shared" ref="H16:H22" si="6">C16*G16</f>
        <v>0</v>
      </c>
      <c r="I16" s="36">
        <f t="shared" ref="I16:I22" si="7">IF(OR($P$15=0,$P$15=""),H16*1,H16*(1+$P$15))</f>
        <v>0</v>
      </c>
    </row>
    <row r="17" spans="1:15" s="31" customFormat="1" x14ac:dyDescent="0.3">
      <c r="A17" s="103"/>
      <c r="B17" s="295"/>
      <c r="C17" s="139"/>
      <c r="D17" s="139"/>
      <c r="E17" s="105"/>
      <c r="F17" s="36">
        <f t="shared" si="4"/>
        <v>0</v>
      </c>
      <c r="G17" s="36">
        <f t="shared" si="5"/>
        <v>0</v>
      </c>
      <c r="H17" s="36">
        <f t="shared" si="6"/>
        <v>0</v>
      </c>
      <c r="I17" s="36">
        <f t="shared" si="7"/>
        <v>0</v>
      </c>
    </row>
    <row r="18" spans="1:15" s="31" customFormat="1" x14ac:dyDescent="0.3">
      <c r="A18" s="103"/>
      <c r="B18" s="294"/>
      <c r="C18" s="104"/>
      <c r="D18" s="104"/>
      <c r="E18" s="105"/>
      <c r="F18" s="36">
        <f t="shared" si="4"/>
        <v>0</v>
      </c>
      <c r="G18" s="36">
        <f t="shared" si="5"/>
        <v>0</v>
      </c>
      <c r="H18" s="36">
        <f t="shared" si="6"/>
        <v>0</v>
      </c>
      <c r="I18" s="36">
        <f t="shared" si="7"/>
        <v>0</v>
      </c>
    </row>
    <row r="19" spans="1:15" s="31" customFormat="1" x14ac:dyDescent="0.3">
      <c r="A19" s="103"/>
      <c r="B19" s="294"/>
      <c r="C19" s="104"/>
      <c r="D19" s="104"/>
      <c r="E19" s="105"/>
      <c r="F19" s="36">
        <f t="shared" si="4"/>
        <v>0</v>
      </c>
      <c r="G19" s="36">
        <f t="shared" si="5"/>
        <v>0</v>
      </c>
      <c r="H19" s="36">
        <f t="shared" si="6"/>
        <v>0</v>
      </c>
      <c r="I19" s="36">
        <f t="shared" si="7"/>
        <v>0</v>
      </c>
    </row>
    <row r="20" spans="1:15" s="31" customFormat="1" x14ac:dyDescent="0.3">
      <c r="A20" s="103"/>
      <c r="B20" s="295"/>
      <c r="C20" s="139"/>
      <c r="D20" s="139"/>
      <c r="E20" s="105"/>
      <c r="F20" s="36">
        <f t="shared" si="4"/>
        <v>0</v>
      </c>
      <c r="G20" s="36">
        <f t="shared" si="5"/>
        <v>0</v>
      </c>
      <c r="H20" s="36">
        <f t="shared" si="6"/>
        <v>0</v>
      </c>
      <c r="I20" s="36">
        <f t="shared" si="7"/>
        <v>0</v>
      </c>
    </row>
    <row r="21" spans="1:15" s="31" customFormat="1" x14ac:dyDescent="0.3">
      <c r="A21" s="103"/>
      <c r="B21" s="295"/>
      <c r="C21" s="139"/>
      <c r="D21" s="139"/>
      <c r="E21" s="105"/>
      <c r="F21" s="36">
        <f t="shared" si="4"/>
        <v>0</v>
      </c>
      <c r="G21" s="36">
        <f t="shared" si="5"/>
        <v>0</v>
      </c>
      <c r="H21" s="36">
        <f t="shared" si="6"/>
        <v>0</v>
      </c>
      <c r="I21" s="36">
        <f t="shared" si="7"/>
        <v>0</v>
      </c>
    </row>
    <row r="22" spans="1:15" s="31" customFormat="1" x14ac:dyDescent="0.3">
      <c r="A22" s="106"/>
      <c r="B22" s="295"/>
      <c r="C22" s="139"/>
      <c r="D22" s="139"/>
      <c r="E22" s="108"/>
      <c r="F22" s="36">
        <f t="shared" si="4"/>
        <v>0</v>
      </c>
      <c r="G22" s="36">
        <f t="shared" si="5"/>
        <v>0</v>
      </c>
      <c r="H22" s="36">
        <f t="shared" si="6"/>
        <v>0</v>
      </c>
      <c r="I22" s="36">
        <f t="shared" si="7"/>
        <v>0</v>
      </c>
      <c r="J22" s="56" t="s">
        <v>108</v>
      </c>
      <c r="K22" s="55" t="s">
        <v>109</v>
      </c>
    </row>
    <row r="23" spans="1:15" s="31" customFormat="1" x14ac:dyDescent="0.3">
      <c r="B23" s="99"/>
      <c r="D23" s="32"/>
      <c r="E23" s="36"/>
      <c r="F23" s="54">
        <f>SUM(F15:F22)</f>
        <v>0</v>
      </c>
      <c r="G23" s="54">
        <f>SUM(G15:G22)</f>
        <v>0</v>
      </c>
      <c r="H23" s="54">
        <f>SUM(H15:H22)</f>
        <v>0</v>
      </c>
      <c r="I23" s="54">
        <f>SUM(I15:I22)</f>
        <v>0</v>
      </c>
      <c r="J23" s="54">
        <f>F23</f>
        <v>0</v>
      </c>
      <c r="K23" s="34">
        <f>I23</f>
        <v>0</v>
      </c>
      <c r="L23" s="155">
        <f>IF(F23=0,0,(I23-F23)/F23)</f>
        <v>0</v>
      </c>
      <c r="M23" s="120">
        <f>SUM(I15:I22)-SUM(F15:F22)</f>
        <v>0</v>
      </c>
      <c r="N23" s="86"/>
    </row>
    <row r="24" spans="1:15" ht="15.6" x14ac:dyDescent="0.3">
      <c r="A24" s="261" t="str">
        <f>'Subcontract 2'!B60</f>
        <v>Quantam Survey</v>
      </c>
      <c r="B24" s="293"/>
      <c r="C24" s="112"/>
      <c r="D24" s="113"/>
      <c r="E24" s="112"/>
      <c r="F24" s="112"/>
      <c r="G24" s="112"/>
      <c r="H24" s="112"/>
      <c r="I24" s="112"/>
      <c r="J24" s="112"/>
      <c r="K24" s="112"/>
      <c r="L24" s="112"/>
      <c r="M24" s="112"/>
      <c r="O24"/>
    </row>
    <row r="25" spans="1:15" s="31" customFormat="1" ht="27.6" x14ac:dyDescent="0.3">
      <c r="A25" s="47" t="s">
        <v>184</v>
      </c>
      <c r="B25" s="290" t="s">
        <v>185</v>
      </c>
      <c r="C25" s="74" t="s">
        <v>47</v>
      </c>
      <c r="D25" s="74" t="s">
        <v>186</v>
      </c>
      <c r="E25" s="75" t="s">
        <v>193</v>
      </c>
      <c r="F25" s="48" t="s">
        <v>22</v>
      </c>
      <c r="G25" s="49" t="s">
        <v>194</v>
      </c>
      <c r="H25" s="49" t="s">
        <v>23</v>
      </c>
      <c r="I25" s="50" t="s">
        <v>100</v>
      </c>
    </row>
    <row r="26" spans="1:15" s="31" customFormat="1" x14ac:dyDescent="0.3">
      <c r="A26" s="103" t="s">
        <v>33</v>
      </c>
      <c r="B26" s="294" t="s">
        <v>216</v>
      </c>
      <c r="C26" s="104">
        <v>6</v>
      </c>
      <c r="D26" s="104" t="s">
        <v>57</v>
      </c>
      <c r="E26" s="105">
        <v>1800</v>
      </c>
      <c r="F26" s="36">
        <f t="shared" ref="F26:F33" si="8">C26*E26</f>
        <v>10800</v>
      </c>
      <c r="G26" s="36">
        <f t="shared" ref="G26:G33" si="9">IF(A26="",0,E26*(1+VLOOKUP(A26,$O$5:$P$9,2,FALSE)))</f>
        <v>2160</v>
      </c>
      <c r="H26" s="36">
        <f>C26*G26</f>
        <v>12960</v>
      </c>
      <c r="I26" s="36">
        <f>IF(OR($P$15=0,$P$15=""),H26*1,H26*(1+$P$15))</f>
        <v>13608</v>
      </c>
    </row>
    <row r="27" spans="1:15" s="31" customFormat="1" x14ac:dyDescent="0.3">
      <c r="A27" s="103" t="s">
        <v>33</v>
      </c>
      <c r="B27" s="294" t="s">
        <v>217</v>
      </c>
      <c r="C27" s="104">
        <v>2</v>
      </c>
      <c r="D27" s="104" t="s">
        <v>57</v>
      </c>
      <c r="E27" s="105">
        <v>1940</v>
      </c>
      <c r="F27" s="36">
        <f t="shared" si="8"/>
        <v>3880</v>
      </c>
      <c r="G27" s="36">
        <f t="shared" si="9"/>
        <v>2328</v>
      </c>
      <c r="H27" s="36">
        <f t="shared" ref="H27:H33" si="10">C27*G27</f>
        <v>4656</v>
      </c>
      <c r="I27" s="36">
        <f t="shared" ref="I27:I33" si="11">IF(OR($P$15=0,$P$15=""),H27*1,H27*(1+$P$15))</f>
        <v>4888.8</v>
      </c>
    </row>
    <row r="28" spans="1:15" s="31" customFormat="1" x14ac:dyDescent="0.3">
      <c r="A28" s="103" t="s">
        <v>33</v>
      </c>
      <c r="B28" s="294" t="s">
        <v>218</v>
      </c>
      <c r="C28" s="104">
        <v>20</v>
      </c>
      <c r="D28" s="104" t="s">
        <v>219</v>
      </c>
      <c r="E28" s="105">
        <v>150</v>
      </c>
      <c r="F28" s="36">
        <f t="shared" si="8"/>
        <v>3000</v>
      </c>
      <c r="G28" s="36">
        <f t="shared" si="9"/>
        <v>180</v>
      </c>
      <c r="H28" s="36">
        <f t="shared" si="10"/>
        <v>3600</v>
      </c>
      <c r="I28" s="36">
        <f t="shared" si="11"/>
        <v>3780</v>
      </c>
    </row>
    <row r="29" spans="1:15" s="31" customFormat="1" x14ac:dyDescent="0.3">
      <c r="A29" s="103" t="s">
        <v>190</v>
      </c>
      <c r="B29" s="294" t="s">
        <v>36</v>
      </c>
      <c r="C29" s="104">
        <v>1</v>
      </c>
      <c r="D29" s="104" t="s">
        <v>57</v>
      </c>
      <c r="E29" s="105">
        <v>5000</v>
      </c>
      <c r="F29" s="36">
        <f t="shared" si="8"/>
        <v>5000</v>
      </c>
      <c r="G29" s="36">
        <f t="shared" si="9"/>
        <v>6000</v>
      </c>
      <c r="H29" s="36">
        <f t="shared" si="10"/>
        <v>6000</v>
      </c>
      <c r="I29" s="36">
        <f t="shared" si="11"/>
        <v>6300</v>
      </c>
    </row>
    <row r="30" spans="1:15" s="31" customFormat="1" x14ac:dyDescent="0.3">
      <c r="A30" s="103"/>
      <c r="B30" s="295"/>
      <c r="C30" s="139"/>
      <c r="D30" s="139"/>
      <c r="E30" s="105"/>
      <c r="F30" s="36">
        <f t="shared" si="8"/>
        <v>0</v>
      </c>
      <c r="G30" s="36">
        <f t="shared" si="9"/>
        <v>0</v>
      </c>
      <c r="H30" s="36">
        <f t="shared" si="10"/>
        <v>0</v>
      </c>
      <c r="I30" s="36">
        <f t="shared" si="11"/>
        <v>0</v>
      </c>
    </row>
    <row r="31" spans="1:15" s="31" customFormat="1" x14ac:dyDescent="0.3">
      <c r="A31" s="103"/>
      <c r="B31" s="295"/>
      <c r="C31" s="139"/>
      <c r="D31" s="139"/>
      <c r="E31" s="105"/>
      <c r="F31" s="36">
        <f t="shared" si="8"/>
        <v>0</v>
      </c>
      <c r="G31" s="36">
        <f t="shared" si="9"/>
        <v>0</v>
      </c>
      <c r="H31" s="36">
        <f t="shared" si="10"/>
        <v>0</v>
      </c>
      <c r="I31" s="36">
        <f t="shared" si="11"/>
        <v>0</v>
      </c>
    </row>
    <row r="32" spans="1:15" s="31" customFormat="1" x14ac:dyDescent="0.3">
      <c r="A32" s="103"/>
      <c r="B32" s="295"/>
      <c r="C32" s="139"/>
      <c r="D32" s="139"/>
      <c r="E32" s="105"/>
      <c r="F32" s="36">
        <f t="shared" si="8"/>
        <v>0</v>
      </c>
      <c r="G32" s="36">
        <f t="shared" si="9"/>
        <v>0</v>
      </c>
      <c r="H32" s="36">
        <f t="shared" si="10"/>
        <v>0</v>
      </c>
      <c r="I32" s="36">
        <f t="shared" si="11"/>
        <v>0</v>
      </c>
    </row>
    <row r="33" spans="1:15" s="31" customFormat="1" x14ac:dyDescent="0.3">
      <c r="A33" s="106"/>
      <c r="B33" s="296"/>
      <c r="C33" s="107"/>
      <c r="D33" s="107"/>
      <c r="E33" s="108"/>
      <c r="F33" s="36">
        <f t="shared" si="8"/>
        <v>0</v>
      </c>
      <c r="G33" s="36">
        <f t="shared" si="9"/>
        <v>0</v>
      </c>
      <c r="H33" s="36">
        <f t="shared" si="10"/>
        <v>0</v>
      </c>
      <c r="I33" s="36">
        <f t="shared" si="11"/>
        <v>0</v>
      </c>
      <c r="J33" s="56" t="s">
        <v>108</v>
      </c>
      <c r="K33" s="55" t="s">
        <v>109</v>
      </c>
    </row>
    <row r="34" spans="1:15" s="31" customFormat="1" x14ac:dyDescent="0.3">
      <c r="B34" s="99"/>
      <c r="D34" s="32"/>
      <c r="E34" s="36"/>
      <c r="F34" s="54">
        <f>SUM(F26:F33)</f>
        <v>22680</v>
      </c>
      <c r="G34" s="54">
        <f>SUM(G26:G33)</f>
        <v>10668</v>
      </c>
      <c r="H34" s="54">
        <f>SUM(H26:H33)</f>
        <v>27216</v>
      </c>
      <c r="I34" s="54">
        <f>SUM(I26:I33)</f>
        <v>28576.799999999999</v>
      </c>
      <c r="J34" s="54">
        <f>F34</f>
        <v>22680</v>
      </c>
      <c r="K34" s="34">
        <f>I34</f>
        <v>28576.799999999999</v>
      </c>
      <c r="L34" s="155">
        <f>IF(F34=0,0,(I34-F34)/F34)</f>
        <v>0.25999999999999995</v>
      </c>
      <c r="M34" s="120">
        <f>SUM(I26:I33)-SUM(F26:F33)</f>
        <v>5896.7999999999993</v>
      </c>
      <c r="N34" s="86"/>
    </row>
    <row r="35" spans="1:15" ht="15.6" x14ac:dyDescent="0.3">
      <c r="A35" s="261" t="str">
        <f>'Subcontract 2'!B88</f>
        <v>Freight of Pipe</v>
      </c>
      <c r="B35" s="293"/>
      <c r="C35" s="112"/>
      <c r="D35" s="113"/>
      <c r="E35" s="112"/>
      <c r="F35" s="112"/>
      <c r="G35" s="112"/>
      <c r="H35" s="112"/>
      <c r="I35" s="112"/>
      <c r="J35" s="112"/>
      <c r="K35" s="112"/>
      <c r="L35" s="112"/>
      <c r="M35" s="112"/>
      <c r="O35"/>
    </row>
    <row r="36" spans="1:15" s="31" customFormat="1" ht="27.6" x14ac:dyDescent="0.3">
      <c r="A36" s="47" t="s">
        <v>184</v>
      </c>
      <c r="B36" s="290" t="s">
        <v>185</v>
      </c>
      <c r="C36" s="74" t="s">
        <v>47</v>
      </c>
      <c r="D36" s="74" t="s">
        <v>186</v>
      </c>
      <c r="E36" s="75" t="s">
        <v>193</v>
      </c>
      <c r="F36" s="48" t="s">
        <v>22</v>
      </c>
      <c r="G36" s="49" t="s">
        <v>194</v>
      </c>
      <c r="H36" s="49" t="s">
        <v>23</v>
      </c>
      <c r="I36" s="50" t="s">
        <v>100</v>
      </c>
    </row>
    <row r="37" spans="1:15" s="31" customFormat="1" x14ac:dyDescent="0.3">
      <c r="A37" s="103" t="s">
        <v>33</v>
      </c>
      <c r="B37" s="294" t="s">
        <v>385</v>
      </c>
      <c r="C37" s="104">
        <v>1</v>
      </c>
      <c r="D37" s="104" t="s">
        <v>57</v>
      </c>
      <c r="E37" s="105">
        <v>330600</v>
      </c>
      <c r="F37" s="36">
        <f t="shared" ref="F37:F44" si="12">C37*E37</f>
        <v>330600</v>
      </c>
      <c r="G37" s="36">
        <f t="shared" ref="G37:G44" si="13">IF(A37="",0,E37*(1+VLOOKUP(A37,$O$5:$P$9,2,FALSE)))</f>
        <v>396720</v>
      </c>
      <c r="H37" s="36">
        <f>C37*G37</f>
        <v>396720</v>
      </c>
      <c r="I37" s="36">
        <f>IF(OR($P$15=0,$P$15=""),H37*1,H37*(1+$P$15))</f>
        <v>416556</v>
      </c>
    </row>
    <row r="38" spans="1:15" s="31" customFormat="1" x14ac:dyDescent="0.3">
      <c r="A38" s="103"/>
      <c r="B38" s="294"/>
      <c r="C38" s="104"/>
      <c r="D38" s="104"/>
      <c r="E38" s="105"/>
      <c r="F38" s="36">
        <f t="shared" si="12"/>
        <v>0</v>
      </c>
      <c r="G38" s="36">
        <f t="shared" si="13"/>
        <v>0</v>
      </c>
      <c r="H38" s="36">
        <f t="shared" ref="H38:H44" si="14">C38*G38</f>
        <v>0</v>
      </c>
      <c r="I38" s="36">
        <f t="shared" ref="I38:I44" si="15">IF(OR($P$15=0,$P$15=""),H38*1,H38*(1+$P$15))</f>
        <v>0</v>
      </c>
    </row>
    <row r="39" spans="1:15" s="31" customFormat="1" x14ac:dyDescent="0.3">
      <c r="A39" s="103"/>
      <c r="B39" s="294"/>
      <c r="C39" s="104"/>
      <c r="D39" s="104"/>
      <c r="E39" s="105"/>
      <c r="F39" s="36">
        <f t="shared" si="12"/>
        <v>0</v>
      </c>
      <c r="G39" s="36">
        <f t="shared" si="13"/>
        <v>0</v>
      </c>
      <c r="H39" s="36">
        <f t="shared" si="14"/>
        <v>0</v>
      </c>
      <c r="I39" s="36">
        <f t="shared" si="15"/>
        <v>0</v>
      </c>
    </row>
    <row r="40" spans="1:15" s="31" customFormat="1" x14ac:dyDescent="0.3">
      <c r="A40" s="103"/>
      <c r="B40" s="295"/>
      <c r="C40" s="139"/>
      <c r="D40" s="139"/>
      <c r="E40" s="105"/>
      <c r="F40" s="36">
        <f t="shared" si="12"/>
        <v>0</v>
      </c>
      <c r="G40" s="36">
        <f t="shared" si="13"/>
        <v>0</v>
      </c>
      <c r="H40" s="36">
        <f t="shared" si="14"/>
        <v>0</v>
      </c>
      <c r="I40" s="36">
        <f t="shared" si="15"/>
        <v>0</v>
      </c>
    </row>
    <row r="41" spans="1:15" s="31" customFormat="1" x14ac:dyDescent="0.3">
      <c r="A41" s="103"/>
      <c r="B41" s="295"/>
      <c r="C41" s="139"/>
      <c r="D41" s="139"/>
      <c r="E41" s="105"/>
      <c r="F41" s="36">
        <f t="shared" si="12"/>
        <v>0</v>
      </c>
      <c r="G41" s="36">
        <f t="shared" si="13"/>
        <v>0</v>
      </c>
      <c r="H41" s="36">
        <f t="shared" si="14"/>
        <v>0</v>
      </c>
      <c r="I41" s="36">
        <f t="shared" si="15"/>
        <v>0</v>
      </c>
    </row>
    <row r="42" spans="1:15" s="31" customFormat="1" x14ac:dyDescent="0.3">
      <c r="A42" s="103"/>
      <c r="B42" s="295"/>
      <c r="C42" s="139"/>
      <c r="D42" s="139"/>
      <c r="E42" s="105"/>
      <c r="F42" s="36">
        <f t="shared" si="12"/>
        <v>0</v>
      </c>
      <c r="G42" s="36">
        <f t="shared" si="13"/>
        <v>0</v>
      </c>
      <c r="H42" s="36">
        <f t="shared" si="14"/>
        <v>0</v>
      </c>
      <c r="I42" s="36">
        <f t="shared" si="15"/>
        <v>0</v>
      </c>
    </row>
    <row r="43" spans="1:15" s="31" customFormat="1" x14ac:dyDescent="0.3">
      <c r="A43" s="103"/>
      <c r="B43" s="294"/>
      <c r="C43" s="104"/>
      <c r="D43" s="104"/>
      <c r="E43" s="105"/>
      <c r="F43" s="36">
        <f t="shared" si="12"/>
        <v>0</v>
      </c>
      <c r="G43" s="36">
        <f t="shared" si="13"/>
        <v>0</v>
      </c>
      <c r="H43" s="36">
        <f t="shared" si="14"/>
        <v>0</v>
      </c>
      <c r="I43" s="36">
        <f t="shared" si="15"/>
        <v>0</v>
      </c>
    </row>
    <row r="44" spans="1:15" s="31" customFormat="1" x14ac:dyDescent="0.3">
      <c r="A44" s="106"/>
      <c r="B44" s="296"/>
      <c r="C44" s="107"/>
      <c r="D44" s="107"/>
      <c r="E44" s="108"/>
      <c r="F44" s="36">
        <f t="shared" si="12"/>
        <v>0</v>
      </c>
      <c r="G44" s="36">
        <f t="shared" si="13"/>
        <v>0</v>
      </c>
      <c r="H44" s="36">
        <f t="shared" si="14"/>
        <v>0</v>
      </c>
      <c r="I44" s="36">
        <f t="shared" si="15"/>
        <v>0</v>
      </c>
      <c r="J44" s="56" t="s">
        <v>108</v>
      </c>
      <c r="K44" s="55" t="s">
        <v>109</v>
      </c>
    </row>
    <row r="45" spans="1:15" s="31" customFormat="1" x14ac:dyDescent="0.3">
      <c r="B45" s="99"/>
      <c r="D45" s="32"/>
      <c r="E45" s="36"/>
      <c r="F45" s="54">
        <f>SUM(F37:F44)</f>
        <v>330600</v>
      </c>
      <c r="G45" s="54">
        <f>SUM(G37:G44)</f>
        <v>396720</v>
      </c>
      <c r="H45" s="54">
        <f>SUM(H37:H44)</f>
        <v>396720</v>
      </c>
      <c r="I45" s="54">
        <f>SUM(I37:I44)</f>
        <v>416556</v>
      </c>
      <c r="J45" s="54">
        <f>F45</f>
        <v>330600</v>
      </c>
      <c r="K45" s="34">
        <f>I45</f>
        <v>416556</v>
      </c>
      <c r="L45" s="155">
        <f>IF(F45=0,0,(I45-F45)/F45)</f>
        <v>0.26</v>
      </c>
      <c r="M45" s="120">
        <f>SUM(I37:I44)-SUM(F37:F44)</f>
        <v>85956</v>
      </c>
      <c r="N45" s="86"/>
    </row>
    <row r="46" spans="1:15" ht="15.6" x14ac:dyDescent="0.3">
      <c r="A46" s="261" t="str">
        <f>'Subcontract 2'!B116</f>
        <v>#5</v>
      </c>
      <c r="B46" s="293"/>
      <c r="C46" s="112"/>
      <c r="D46" s="113"/>
      <c r="E46" s="112"/>
      <c r="F46" s="112"/>
      <c r="G46" s="112"/>
      <c r="H46" s="112"/>
      <c r="I46" s="112"/>
      <c r="J46" s="112"/>
      <c r="K46" s="112"/>
      <c r="L46" s="112"/>
      <c r="M46" s="112"/>
      <c r="O46"/>
    </row>
    <row r="47" spans="1:15" s="31" customFormat="1" ht="27.6" x14ac:dyDescent="0.3">
      <c r="A47" s="47" t="s">
        <v>184</v>
      </c>
      <c r="B47" s="290" t="s">
        <v>185</v>
      </c>
      <c r="C47" s="74" t="s">
        <v>47</v>
      </c>
      <c r="D47" s="74" t="s">
        <v>186</v>
      </c>
      <c r="E47" s="75" t="s">
        <v>193</v>
      </c>
      <c r="F47" s="48" t="s">
        <v>22</v>
      </c>
      <c r="G47" s="49" t="s">
        <v>194</v>
      </c>
      <c r="H47" s="49" t="s">
        <v>23</v>
      </c>
      <c r="I47" s="50" t="s">
        <v>100</v>
      </c>
      <c r="L47" s="48" t="s">
        <v>101</v>
      </c>
      <c r="M47" s="48" t="s">
        <v>0</v>
      </c>
    </row>
    <row r="48" spans="1:15" s="31" customFormat="1" x14ac:dyDescent="0.3">
      <c r="A48" s="103"/>
      <c r="B48" s="294"/>
      <c r="C48" s="104"/>
      <c r="D48" s="104"/>
      <c r="E48" s="105"/>
      <c r="F48" s="36">
        <f t="shared" ref="F48:F55" si="16">C48*E48</f>
        <v>0</v>
      </c>
      <c r="G48" s="36">
        <f t="shared" ref="G48:G55" si="17">IF(A48="",0,E48*(1+VLOOKUP(A48,$O$5:$P$9,2,FALSE)))</f>
        <v>0</v>
      </c>
      <c r="H48" s="36">
        <f>C48*G48</f>
        <v>0</v>
      </c>
      <c r="I48" s="36">
        <f>IF(OR($P$15=0,$P$15=""),H48*1,H48*(1+$P$15))</f>
        <v>0</v>
      </c>
    </row>
    <row r="49" spans="1:15" s="31" customFormat="1" x14ac:dyDescent="0.3">
      <c r="A49" s="103"/>
      <c r="B49" s="295"/>
      <c r="C49" s="139"/>
      <c r="D49" s="139"/>
      <c r="E49" s="105"/>
      <c r="F49" s="36">
        <f t="shared" si="16"/>
        <v>0</v>
      </c>
      <c r="G49" s="36">
        <f t="shared" si="17"/>
        <v>0</v>
      </c>
      <c r="H49" s="36">
        <f t="shared" ref="H49:H55" si="18">C49*G49</f>
        <v>0</v>
      </c>
      <c r="I49" s="36">
        <f t="shared" ref="I49:I55" si="19">IF(OR($P$15=0,$P$15=""),H49*1,H49*(1+$P$15))</f>
        <v>0</v>
      </c>
    </row>
    <row r="50" spans="1:15" s="31" customFormat="1" x14ac:dyDescent="0.3">
      <c r="A50" s="103"/>
      <c r="B50" s="294"/>
      <c r="C50" s="104"/>
      <c r="D50" s="104"/>
      <c r="E50" s="105"/>
      <c r="F50" s="36">
        <f t="shared" si="16"/>
        <v>0</v>
      </c>
      <c r="G50" s="36">
        <f t="shared" si="17"/>
        <v>0</v>
      </c>
      <c r="H50" s="36">
        <f t="shared" si="18"/>
        <v>0</v>
      </c>
      <c r="I50" s="36">
        <f t="shared" si="19"/>
        <v>0</v>
      </c>
    </row>
    <row r="51" spans="1:15" s="31" customFormat="1" x14ac:dyDescent="0.3">
      <c r="A51" s="103"/>
      <c r="B51" s="294"/>
      <c r="C51" s="104"/>
      <c r="D51" s="104"/>
      <c r="E51" s="105"/>
      <c r="F51" s="36">
        <f t="shared" si="16"/>
        <v>0</v>
      </c>
      <c r="G51" s="36">
        <f t="shared" si="17"/>
        <v>0</v>
      </c>
      <c r="H51" s="36">
        <f t="shared" si="18"/>
        <v>0</v>
      </c>
      <c r="I51" s="36">
        <f t="shared" si="19"/>
        <v>0</v>
      </c>
    </row>
    <row r="52" spans="1:15" s="31" customFormat="1" x14ac:dyDescent="0.3">
      <c r="A52" s="103"/>
      <c r="B52" s="295"/>
      <c r="C52" s="139"/>
      <c r="D52" s="139"/>
      <c r="E52" s="105"/>
      <c r="F52" s="36">
        <f t="shared" si="16"/>
        <v>0</v>
      </c>
      <c r="G52" s="36">
        <f t="shared" si="17"/>
        <v>0</v>
      </c>
      <c r="H52" s="36">
        <f t="shared" si="18"/>
        <v>0</v>
      </c>
      <c r="I52" s="36">
        <f t="shared" si="19"/>
        <v>0</v>
      </c>
    </row>
    <row r="53" spans="1:15" s="31" customFormat="1" x14ac:dyDescent="0.3">
      <c r="A53" s="103"/>
      <c r="B53" s="295"/>
      <c r="C53" s="139"/>
      <c r="D53" s="139"/>
      <c r="E53" s="105"/>
      <c r="F53" s="36">
        <f t="shared" si="16"/>
        <v>0</v>
      </c>
      <c r="G53" s="36">
        <f t="shared" si="17"/>
        <v>0</v>
      </c>
      <c r="H53" s="36">
        <f t="shared" si="18"/>
        <v>0</v>
      </c>
      <c r="I53" s="36">
        <f t="shared" si="19"/>
        <v>0</v>
      </c>
    </row>
    <row r="54" spans="1:15" s="31" customFormat="1" x14ac:dyDescent="0.3">
      <c r="A54" s="103"/>
      <c r="B54" s="295"/>
      <c r="C54" s="139"/>
      <c r="D54" s="139"/>
      <c r="E54" s="105"/>
      <c r="F54" s="36">
        <f t="shared" si="16"/>
        <v>0</v>
      </c>
      <c r="G54" s="36">
        <f t="shared" si="17"/>
        <v>0</v>
      </c>
      <c r="H54" s="36">
        <f t="shared" si="18"/>
        <v>0</v>
      </c>
      <c r="I54" s="36">
        <f t="shared" si="19"/>
        <v>0</v>
      </c>
    </row>
    <row r="55" spans="1:15" s="31" customFormat="1" x14ac:dyDescent="0.3">
      <c r="A55" s="106"/>
      <c r="B55" s="296"/>
      <c r="C55" s="107"/>
      <c r="D55" s="107"/>
      <c r="E55" s="108"/>
      <c r="F55" s="36">
        <f t="shared" si="16"/>
        <v>0</v>
      </c>
      <c r="G55" s="36">
        <f t="shared" si="17"/>
        <v>0</v>
      </c>
      <c r="H55" s="36">
        <f t="shared" si="18"/>
        <v>0</v>
      </c>
      <c r="I55" s="36">
        <f t="shared" si="19"/>
        <v>0</v>
      </c>
      <c r="J55" s="56" t="s">
        <v>108</v>
      </c>
      <c r="K55" s="55" t="s">
        <v>109</v>
      </c>
    </row>
    <row r="56" spans="1:15" s="31" customFormat="1" x14ac:dyDescent="0.3">
      <c r="B56" s="99"/>
      <c r="D56" s="32"/>
      <c r="E56" s="36"/>
      <c r="F56" s="54">
        <f>SUM(F48:F55)</f>
        <v>0</v>
      </c>
      <c r="G56" s="54">
        <f>SUM(G48:G55)</f>
        <v>0</v>
      </c>
      <c r="H56" s="54">
        <f>SUM(H48:H55)</f>
        <v>0</v>
      </c>
      <c r="I56" s="54">
        <f>SUM(I48:I55)</f>
        <v>0</v>
      </c>
      <c r="J56" s="54">
        <f>F56</f>
        <v>0</v>
      </c>
      <c r="K56" s="34">
        <f>I56</f>
        <v>0</v>
      </c>
      <c r="L56" s="155">
        <f>IF(F56=0,0,(I56-F56)/F56)</f>
        <v>0</v>
      </c>
      <c r="M56" s="120">
        <f>SUM(I48:I55)-SUM(F48:F55)</f>
        <v>0</v>
      </c>
      <c r="N56" s="86"/>
    </row>
    <row r="57" spans="1:15" ht="15.6" x14ac:dyDescent="0.3">
      <c r="A57" s="261" t="str">
        <f>'Subcontract 2'!B144</f>
        <v>#6</v>
      </c>
      <c r="B57" s="293"/>
      <c r="C57" s="112"/>
      <c r="D57" s="113"/>
      <c r="E57" s="112"/>
      <c r="F57" s="112"/>
      <c r="G57" s="112"/>
      <c r="H57" s="112"/>
      <c r="I57" s="112"/>
      <c r="J57" s="112"/>
      <c r="K57" s="112"/>
      <c r="L57" s="112"/>
      <c r="M57" s="112"/>
      <c r="O57"/>
    </row>
    <row r="58" spans="1:15" s="31" customFormat="1" ht="27.6" x14ac:dyDescent="0.3">
      <c r="A58" s="47" t="s">
        <v>184</v>
      </c>
      <c r="B58" s="290" t="s">
        <v>185</v>
      </c>
      <c r="C58" s="74" t="s">
        <v>47</v>
      </c>
      <c r="D58" s="74" t="s">
        <v>186</v>
      </c>
      <c r="E58" s="75" t="s">
        <v>193</v>
      </c>
      <c r="F58" s="48" t="s">
        <v>22</v>
      </c>
      <c r="G58" s="49" t="s">
        <v>194</v>
      </c>
      <c r="H58" s="49" t="s">
        <v>23</v>
      </c>
      <c r="I58" s="50" t="s">
        <v>100</v>
      </c>
    </row>
    <row r="59" spans="1:15" s="31" customFormat="1" x14ac:dyDescent="0.3">
      <c r="A59" s="103"/>
      <c r="B59" s="294"/>
      <c r="C59" s="104"/>
      <c r="D59" s="104"/>
      <c r="E59" s="105"/>
      <c r="F59" s="36">
        <f t="shared" ref="F59:F66" si="20">C59*E59</f>
        <v>0</v>
      </c>
      <c r="G59" s="36">
        <f t="shared" ref="G59:G66" si="21">IF(A59="",0,E59*(1+VLOOKUP(A59,$O$5:$P$9,2,FALSE)))</f>
        <v>0</v>
      </c>
      <c r="H59" s="36">
        <f>C59*G59</f>
        <v>0</v>
      </c>
      <c r="I59" s="36">
        <f>IF(OR($P$15=0,$P$15=""),H59*1,H59*(1+$P$15))</f>
        <v>0</v>
      </c>
    </row>
    <row r="60" spans="1:15" s="31" customFormat="1" x14ac:dyDescent="0.3">
      <c r="A60" s="103"/>
      <c r="B60" s="294"/>
      <c r="C60" s="104"/>
      <c r="D60" s="104"/>
      <c r="E60" s="105"/>
      <c r="F60" s="36">
        <f t="shared" si="20"/>
        <v>0</v>
      </c>
      <c r="G60" s="36">
        <f t="shared" si="21"/>
        <v>0</v>
      </c>
      <c r="H60" s="36">
        <f t="shared" ref="H60:H66" si="22">C60*G60</f>
        <v>0</v>
      </c>
      <c r="I60" s="36">
        <f t="shared" ref="I60:I66" si="23">IF(OR($P$15=0,$P$15=""),H60*1,H60*(1+$P$15))</f>
        <v>0</v>
      </c>
    </row>
    <row r="61" spans="1:15" s="31" customFormat="1" x14ac:dyDescent="0.3">
      <c r="A61" s="103"/>
      <c r="B61" s="294"/>
      <c r="C61" s="104"/>
      <c r="D61" s="104"/>
      <c r="E61" s="105"/>
      <c r="F61" s="36">
        <f t="shared" si="20"/>
        <v>0</v>
      </c>
      <c r="G61" s="36">
        <f t="shared" si="21"/>
        <v>0</v>
      </c>
      <c r="H61" s="36">
        <f t="shared" si="22"/>
        <v>0</v>
      </c>
      <c r="I61" s="36">
        <f t="shared" si="23"/>
        <v>0</v>
      </c>
    </row>
    <row r="62" spans="1:15" s="31" customFormat="1" x14ac:dyDescent="0.3">
      <c r="A62" s="103"/>
      <c r="B62" s="295"/>
      <c r="C62" s="139"/>
      <c r="D62" s="139"/>
      <c r="E62" s="105"/>
      <c r="F62" s="36">
        <f t="shared" si="20"/>
        <v>0</v>
      </c>
      <c r="G62" s="36">
        <f t="shared" si="21"/>
        <v>0</v>
      </c>
      <c r="H62" s="36">
        <f t="shared" si="22"/>
        <v>0</v>
      </c>
      <c r="I62" s="36">
        <f t="shared" si="23"/>
        <v>0</v>
      </c>
    </row>
    <row r="63" spans="1:15" s="31" customFormat="1" x14ac:dyDescent="0.3">
      <c r="A63" s="103"/>
      <c r="B63" s="295"/>
      <c r="C63" s="139"/>
      <c r="D63" s="139"/>
      <c r="E63" s="105"/>
      <c r="F63" s="36">
        <f t="shared" si="20"/>
        <v>0</v>
      </c>
      <c r="G63" s="36">
        <f t="shared" si="21"/>
        <v>0</v>
      </c>
      <c r="H63" s="36">
        <f t="shared" si="22"/>
        <v>0</v>
      </c>
      <c r="I63" s="36">
        <f t="shared" si="23"/>
        <v>0</v>
      </c>
    </row>
    <row r="64" spans="1:15" s="31" customFormat="1" x14ac:dyDescent="0.3">
      <c r="A64" s="103"/>
      <c r="B64" s="295"/>
      <c r="C64" s="139"/>
      <c r="D64" s="139"/>
      <c r="E64" s="105"/>
      <c r="F64" s="36">
        <f t="shared" si="20"/>
        <v>0</v>
      </c>
      <c r="G64" s="36">
        <f t="shared" si="21"/>
        <v>0</v>
      </c>
      <c r="H64" s="36">
        <f t="shared" si="22"/>
        <v>0</v>
      </c>
      <c r="I64" s="36">
        <f t="shared" si="23"/>
        <v>0</v>
      </c>
    </row>
    <row r="65" spans="1:15" s="31" customFormat="1" x14ac:dyDescent="0.3">
      <c r="A65" s="103"/>
      <c r="B65" s="294"/>
      <c r="C65" s="104"/>
      <c r="D65" s="104"/>
      <c r="E65" s="105"/>
      <c r="F65" s="36">
        <f t="shared" si="20"/>
        <v>0</v>
      </c>
      <c r="G65" s="36">
        <f t="shared" si="21"/>
        <v>0</v>
      </c>
      <c r="H65" s="36">
        <f t="shared" si="22"/>
        <v>0</v>
      </c>
      <c r="I65" s="36">
        <f t="shared" si="23"/>
        <v>0</v>
      </c>
    </row>
    <row r="66" spans="1:15" s="31" customFormat="1" x14ac:dyDescent="0.3">
      <c r="A66" s="106"/>
      <c r="B66" s="296"/>
      <c r="C66" s="107"/>
      <c r="D66" s="107"/>
      <c r="E66" s="108"/>
      <c r="F66" s="36">
        <f t="shared" si="20"/>
        <v>0</v>
      </c>
      <c r="G66" s="36">
        <f t="shared" si="21"/>
        <v>0</v>
      </c>
      <c r="H66" s="36">
        <f t="shared" si="22"/>
        <v>0</v>
      </c>
      <c r="I66" s="36">
        <f t="shared" si="23"/>
        <v>0</v>
      </c>
      <c r="J66" s="56" t="s">
        <v>108</v>
      </c>
      <c r="K66" s="55" t="s">
        <v>109</v>
      </c>
    </row>
    <row r="67" spans="1:15" s="31" customFormat="1" x14ac:dyDescent="0.3">
      <c r="B67" s="99"/>
      <c r="D67" s="32"/>
      <c r="E67" s="36"/>
      <c r="F67" s="54">
        <f>SUM(F59:F66)</f>
        <v>0</v>
      </c>
      <c r="G67" s="54">
        <f>SUM(G59:G66)</f>
        <v>0</v>
      </c>
      <c r="H67" s="54">
        <f>SUM(H59:H66)</f>
        <v>0</v>
      </c>
      <c r="I67" s="54">
        <f>SUM(I59:I66)</f>
        <v>0</v>
      </c>
      <c r="J67" s="54">
        <f>F67</f>
        <v>0</v>
      </c>
      <c r="K67" s="34">
        <f>I67</f>
        <v>0</v>
      </c>
      <c r="L67" s="155">
        <f>IF(F67=0,0,(I67-F67)/F67)</f>
        <v>0</v>
      </c>
      <c r="M67" s="120">
        <f>SUM(I59:I66)-SUM(F59:F66)</f>
        <v>0</v>
      </c>
      <c r="N67" s="86"/>
    </row>
    <row r="68" spans="1:15" ht="15.6" x14ac:dyDescent="0.3">
      <c r="A68" s="261" t="str">
        <f>'Subcontract 2'!B172</f>
        <v>#7</v>
      </c>
      <c r="B68" s="293"/>
      <c r="C68" s="112"/>
      <c r="D68" s="113"/>
      <c r="E68" s="112"/>
      <c r="F68" s="112"/>
      <c r="G68" s="112"/>
      <c r="H68" s="112"/>
      <c r="I68" s="112"/>
      <c r="J68" s="112"/>
      <c r="K68" s="112"/>
      <c r="L68" s="112"/>
      <c r="M68" s="112"/>
      <c r="O68"/>
    </row>
    <row r="69" spans="1:15" s="31" customFormat="1" ht="27.6" x14ac:dyDescent="0.3">
      <c r="A69" s="47" t="s">
        <v>184</v>
      </c>
      <c r="B69" s="290" t="s">
        <v>185</v>
      </c>
      <c r="C69" s="74" t="s">
        <v>47</v>
      </c>
      <c r="D69" s="74" t="s">
        <v>186</v>
      </c>
      <c r="E69" s="75" t="s">
        <v>193</v>
      </c>
      <c r="F69" s="48" t="s">
        <v>22</v>
      </c>
      <c r="G69" s="49" t="s">
        <v>194</v>
      </c>
      <c r="H69" s="49" t="s">
        <v>23</v>
      </c>
      <c r="I69" s="50" t="s">
        <v>100</v>
      </c>
    </row>
    <row r="70" spans="1:15" s="31" customFormat="1" x14ac:dyDescent="0.3">
      <c r="A70" s="103"/>
      <c r="B70" s="294"/>
      <c r="C70" s="104"/>
      <c r="D70" s="104"/>
      <c r="E70" s="105"/>
      <c r="F70" s="36">
        <f t="shared" ref="F70:F77" si="24">C70*E70</f>
        <v>0</v>
      </c>
      <c r="G70" s="36">
        <f t="shared" ref="G70:G77" si="25">IF(A70="",0,E70*(1+VLOOKUP(A70,$O$5:$P$9,2,FALSE)))</f>
        <v>0</v>
      </c>
      <c r="H70" s="36">
        <f>C70*G70</f>
        <v>0</v>
      </c>
      <c r="I70" s="36">
        <f>IF(OR($P$15=0,$P$15=""),H70*1,H70*(1+$P$15))</f>
        <v>0</v>
      </c>
    </row>
    <row r="71" spans="1:15" s="31" customFormat="1" x14ac:dyDescent="0.3">
      <c r="A71" s="103"/>
      <c r="B71" s="294"/>
      <c r="C71" s="104"/>
      <c r="D71" s="104"/>
      <c r="E71" s="105"/>
      <c r="F71" s="36">
        <f t="shared" si="24"/>
        <v>0</v>
      </c>
      <c r="G71" s="36">
        <f t="shared" si="25"/>
        <v>0</v>
      </c>
      <c r="H71" s="36">
        <f t="shared" ref="H71:H77" si="26">C71*G71</f>
        <v>0</v>
      </c>
      <c r="I71" s="36">
        <f t="shared" ref="I71:I77" si="27">IF(OR($P$15=0,$P$15=""),H71*1,H71*(1+$P$15))</f>
        <v>0</v>
      </c>
    </row>
    <row r="72" spans="1:15" s="31" customFormat="1" x14ac:dyDescent="0.3">
      <c r="A72" s="103"/>
      <c r="B72" s="294"/>
      <c r="C72" s="104"/>
      <c r="D72" s="104"/>
      <c r="E72" s="105"/>
      <c r="F72" s="36">
        <f t="shared" si="24"/>
        <v>0</v>
      </c>
      <c r="G72" s="36">
        <f t="shared" si="25"/>
        <v>0</v>
      </c>
      <c r="H72" s="36">
        <f t="shared" si="26"/>
        <v>0</v>
      </c>
      <c r="I72" s="36">
        <f t="shared" si="27"/>
        <v>0</v>
      </c>
    </row>
    <row r="73" spans="1:15" s="31" customFormat="1" x14ac:dyDescent="0.3">
      <c r="A73" s="103"/>
      <c r="B73" s="294"/>
      <c r="C73" s="104"/>
      <c r="D73" s="104"/>
      <c r="E73" s="105"/>
      <c r="F73" s="36">
        <f t="shared" si="24"/>
        <v>0</v>
      </c>
      <c r="G73" s="36">
        <f t="shared" si="25"/>
        <v>0</v>
      </c>
      <c r="H73" s="36">
        <f t="shared" si="26"/>
        <v>0</v>
      </c>
      <c r="I73" s="36">
        <f t="shared" si="27"/>
        <v>0</v>
      </c>
    </row>
    <row r="74" spans="1:15" s="31" customFormat="1" x14ac:dyDescent="0.3">
      <c r="A74" s="103"/>
      <c r="B74" s="294"/>
      <c r="C74" s="104"/>
      <c r="D74" s="104"/>
      <c r="E74" s="105"/>
      <c r="F74" s="36">
        <f t="shared" si="24"/>
        <v>0</v>
      </c>
      <c r="G74" s="36">
        <f t="shared" si="25"/>
        <v>0</v>
      </c>
      <c r="H74" s="36">
        <f t="shared" si="26"/>
        <v>0</v>
      </c>
      <c r="I74" s="36">
        <f t="shared" si="27"/>
        <v>0</v>
      </c>
    </row>
    <row r="75" spans="1:15" s="31" customFormat="1" x14ac:dyDescent="0.3">
      <c r="A75" s="103"/>
      <c r="B75" s="294"/>
      <c r="C75" s="104"/>
      <c r="D75" s="104"/>
      <c r="E75" s="105"/>
      <c r="F75" s="36">
        <f t="shared" si="24"/>
        <v>0</v>
      </c>
      <c r="G75" s="36">
        <f t="shared" si="25"/>
        <v>0</v>
      </c>
      <c r="H75" s="36">
        <f t="shared" si="26"/>
        <v>0</v>
      </c>
      <c r="I75" s="36">
        <f t="shared" si="27"/>
        <v>0</v>
      </c>
    </row>
    <row r="76" spans="1:15" s="31" customFormat="1" x14ac:dyDescent="0.3">
      <c r="A76" s="103"/>
      <c r="B76" s="294"/>
      <c r="C76" s="104"/>
      <c r="D76" s="104"/>
      <c r="E76" s="105"/>
      <c r="F76" s="36">
        <f t="shared" si="24"/>
        <v>0</v>
      </c>
      <c r="G76" s="36">
        <f t="shared" si="25"/>
        <v>0</v>
      </c>
      <c r="H76" s="36">
        <f t="shared" si="26"/>
        <v>0</v>
      </c>
      <c r="I76" s="36">
        <f t="shared" si="27"/>
        <v>0</v>
      </c>
    </row>
    <row r="77" spans="1:15" s="31" customFormat="1" x14ac:dyDescent="0.3">
      <c r="A77" s="106"/>
      <c r="B77" s="296"/>
      <c r="C77" s="107"/>
      <c r="D77" s="107"/>
      <c r="E77" s="108"/>
      <c r="F77" s="36">
        <f t="shared" si="24"/>
        <v>0</v>
      </c>
      <c r="G77" s="36">
        <f t="shared" si="25"/>
        <v>0</v>
      </c>
      <c r="H77" s="36">
        <f t="shared" si="26"/>
        <v>0</v>
      </c>
      <c r="I77" s="36">
        <f t="shared" si="27"/>
        <v>0</v>
      </c>
      <c r="J77" s="56" t="s">
        <v>108</v>
      </c>
      <c r="K77" s="55" t="s">
        <v>109</v>
      </c>
    </row>
    <row r="78" spans="1:15" s="31" customFormat="1" x14ac:dyDescent="0.3">
      <c r="B78" s="99"/>
      <c r="D78" s="32"/>
      <c r="E78" s="36"/>
      <c r="F78" s="54">
        <f>SUM(F70:F77)</f>
        <v>0</v>
      </c>
      <c r="G78" s="54">
        <f>SUM(G70:G77)</f>
        <v>0</v>
      </c>
      <c r="H78" s="54">
        <f>SUM(H70:H77)</f>
        <v>0</v>
      </c>
      <c r="I78" s="54">
        <f>SUM(I70:I77)</f>
        <v>0</v>
      </c>
      <c r="J78" s="54">
        <f>F78</f>
        <v>0</v>
      </c>
      <c r="K78" s="34">
        <f>I78</f>
        <v>0</v>
      </c>
      <c r="L78" s="155">
        <f>IF(F78=0,0,(I78-F78)/F78)</f>
        <v>0</v>
      </c>
      <c r="M78" s="120">
        <f>SUM(I70:I77)-SUM(F70:F77)</f>
        <v>0</v>
      </c>
      <c r="N78" s="86"/>
    </row>
    <row r="79" spans="1:15" ht="15.6" x14ac:dyDescent="0.3">
      <c r="A79" s="261" t="str">
        <f>'Subcontract 2'!B200</f>
        <v>#8</v>
      </c>
      <c r="B79" s="293"/>
      <c r="C79" s="112"/>
      <c r="D79" s="113"/>
      <c r="E79" s="112"/>
      <c r="F79" s="112"/>
      <c r="G79" s="112"/>
      <c r="H79" s="112"/>
      <c r="I79" s="112"/>
      <c r="J79" s="112"/>
      <c r="K79" s="112"/>
      <c r="L79" s="112"/>
      <c r="M79" s="112"/>
      <c r="O79"/>
    </row>
    <row r="80" spans="1:15" s="31" customFormat="1" ht="27.6" x14ac:dyDescent="0.3">
      <c r="A80" s="47" t="s">
        <v>184</v>
      </c>
      <c r="B80" s="290" t="s">
        <v>185</v>
      </c>
      <c r="C80" s="74" t="s">
        <v>47</v>
      </c>
      <c r="D80" s="74" t="s">
        <v>186</v>
      </c>
      <c r="E80" s="75" t="s">
        <v>193</v>
      </c>
      <c r="F80" s="48" t="s">
        <v>22</v>
      </c>
      <c r="G80" s="49" t="s">
        <v>194</v>
      </c>
      <c r="H80" s="49" t="s">
        <v>23</v>
      </c>
      <c r="I80" s="50" t="s">
        <v>100</v>
      </c>
    </row>
    <row r="81" spans="1:15" s="31" customFormat="1" x14ac:dyDescent="0.3">
      <c r="A81" s="103"/>
      <c r="B81" s="294"/>
      <c r="C81" s="104"/>
      <c r="D81" s="104"/>
      <c r="E81" s="105"/>
      <c r="F81" s="36">
        <f t="shared" ref="F81:F88" si="28">C81*E81</f>
        <v>0</v>
      </c>
      <c r="G81" s="36">
        <f t="shared" ref="G81:G88" si="29">IF(A81="",0,E81*(1+VLOOKUP(A81,$O$5:$P$9,2,FALSE)))</f>
        <v>0</v>
      </c>
      <c r="H81" s="36">
        <f>C81*G81</f>
        <v>0</v>
      </c>
      <c r="I81" s="36">
        <f>IF(OR($P$15=0,$P$15=""),H81*1,H81*(1+$P$15))</f>
        <v>0</v>
      </c>
    </row>
    <row r="82" spans="1:15" s="31" customFormat="1" x14ac:dyDescent="0.3">
      <c r="A82" s="103"/>
      <c r="B82" s="294"/>
      <c r="C82" s="104"/>
      <c r="D82" s="104"/>
      <c r="E82" s="105"/>
      <c r="F82" s="36">
        <f t="shared" si="28"/>
        <v>0</v>
      </c>
      <c r="G82" s="36">
        <f t="shared" si="29"/>
        <v>0</v>
      </c>
      <c r="H82" s="36">
        <f t="shared" ref="H82:H88" si="30">C82*G82</f>
        <v>0</v>
      </c>
      <c r="I82" s="36">
        <f t="shared" ref="I82:I88" si="31">IF(OR($P$15=0,$P$15=""),H82*1,H82*(1+$P$15))</f>
        <v>0</v>
      </c>
    </row>
    <row r="83" spans="1:15" s="31" customFormat="1" x14ac:dyDescent="0.3">
      <c r="A83" s="103"/>
      <c r="B83" s="294"/>
      <c r="C83" s="104"/>
      <c r="D83" s="104"/>
      <c r="E83" s="105"/>
      <c r="F83" s="36">
        <f t="shared" si="28"/>
        <v>0</v>
      </c>
      <c r="G83" s="36">
        <f t="shared" si="29"/>
        <v>0</v>
      </c>
      <c r="H83" s="36">
        <f t="shared" si="30"/>
        <v>0</v>
      </c>
      <c r="I83" s="36">
        <f t="shared" si="31"/>
        <v>0</v>
      </c>
    </row>
    <row r="84" spans="1:15" s="31" customFormat="1" x14ac:dyDescent="0.3">
      <c r="A84" s="103"/>
      <c r="B84" s="294"/>
      <c r="C84" s="104"/>
      <c r="D84" s="104"/>
      <c r="E84" s="105"/>
      <c r="F84" s="36">
        <f t="shared" si="28"/>
        <v>0</v>
      </c>
      <c r="G84" s="36">
        <f t="shared" si="29"/>
        <v>0</v>
      </c>
      <c r="H84" s="36">
        <f t="shared" si="30"/>
        <v>0</v>
      </c>
      <c r="I84" s="36">
        <f t="shared" si="31"/>
        <v>0</v>
      </c>
    </row>
    <row r="85" spans="1:15" s="31" customFormat="1" x14ac:dyDescent="0.3">
      <c r="A85" s="103"/>
      <c r="B85" s="294"/>
      <c r="C85" s="104"/>
      <c r="D85" s="104"/>
      <c r="E85" s="105"/>
      <c r="F85" s="36">
        <f t="shared" si="28"/>
        <v>0</v>
      </c>
      <c r="G85" s="36">
        <f t="shared" si="29"/>
        <v>0</v>
      </c>
      <c r="H85" s="36">
        <f t="shared" si="30"/>
        <v>0</v>
      </c>
      <c r="I85" s="36">
        <f t="shared" si="31"/>
        <v>0</v>
      </c>
    </row>
    <row r="86" spans="1:15" s="31" customFormat="1" x14ac:dyDescent="0.3">
      <c r="A86" s="103"/>
      <c r="B86" s="294"/>
      <c r="C86" s="104"/>
      <c r="D86" s="104"/>
      <c r="E86" s="105"/>
      <c r="F86" s="36">
        <f t="shared" si="28"/>
        <v>0</v>
      </c>
      <c r="G86" s="36">
        <f t="shared" si="29"/>
        <v>0</v>
      </c>
      <c r="H86" s="36">
        <f t="shared" si="30"/>
        <v>0</v>
      </c>
      <c r="I86" s="36">
        <f t="shared" si="31"/>
        <v>0</v>
      </c>
    </row>
    <row r="87" spans="1:15" s="31" customFormat="1" x14ac:dyDescent="0.3">
      <c r="A87" s="103"/>
      <c r="B87" s="294"/>
      <c r="C87" s="104"/>
      <c r="D87" s="104"/>
      <c r="E87" s="105"/>
      <c r="F87" s="36">
        <f t="shared" si="28"/>
        <v>0</v>
      </c>
      <c r="G87" s="36">
        <f t="shared" si="29"/>
        <v>0</v>
      </c>
      <c r="H87" s="36">
        <f t="shared" si="30"/>
        <v>0</v>
      </c>
      <c r="I87" s="36">
        <f t="shared" si="31"/>
        <v>0</v>
      </c>
    </row>
    <row r="88" spans="1:15" s="31" customFormat="1" x14ac:dyDescent="0.3">
      <c r="A88" s="106"/>
      <c r="B88" s="296"/>
      <c r="C88" s="107"/>
      <c r="D88" s="107"/>
      <c r="E88" s="108"/>
      <c r="F88" s="36">
        <f t="shared" si="28"/>
        <v>0</v>
      </c>
      <c r="G88" s="36">
        <f t="shared" si="29"/>
        <v>0</v>
      </c>
      <c r="H88" s="36">
        <f t="shared" si="30"/>
        <v>0</v>
      </c>
      <c r="I88" s="36">
        <f t="shared" si="31"/>
        <v>0</v>
      </c>
      <c r="J88" s="56" t="s">
        <v>108</v>
      </c>
      <c r="K88" s="55" t="s">
        <v>109</v>
      </c>
    </row>
    <row r="89" spans="1:15" s="31" customFormat="1" x14ac:dyDescent="0.3">
      <c r="B89" s="99"/>
      <c r="D89" s="32"/>
      <c r="E89" s="36"/>
      <c r="F89" s="54">
        <f>SUM(F81:F88)</f>
        <v>0</v>
      </c>
      <c r="G89" s="54">
        <f>SUM(G81:G88)</f>
        <v>0</v>
      </c>
      <c r="H89" s="54">
        <f>SUM(H81:H88)</f>
        <v>0</v>
      </c>
      <c r="I89" s="54">
        <f>SUM(I81:I88)</f>
        <v>0</v>
      </c>
      <c r="J89" s="54">
        <f>F89</f>
        <v>0</v>
      </c>
      <c r="K89" s="34">
        <f>I89</f>
        <v>0</v>
      </c>
      <c r="L89" s="155">
        <f>IF(F89=0,0,(I89-F89)/F89)</f>
        <v>0</v>
      </c>
      <c r="M89" s="120">
        <f>SUM(I81:I88)-SUM(F81:F88)</f>
        <v>0</v>
      </c>
      <c r="N89" s="86"/>
    </row>
    <row r="90" spans="1:15" ht="15.6" x14ac:dyDescent="0.3">
      <c r="A90" s="261" t="str">
        <f>'Subcontract 2'!B228</f>
        <v>#9</v>
      </c>
      <c r="B90" s="293"/>
      <c r="C90" s="112"/>
      <c r="D90" s="113"/>
      <c r="E90" s="112"/>
      <c r="F90" s="112"/>
      <c r="G90" s="112"/>
      <c r="H90" s="112"/>
      <c r="I90" s="112"/>
      <c r="J90" s="112"/>
      <c r="K90" s="112"/>
      <c r="L90" s="112"/>
      <c r="M90" s="112"/>
      <c r="O90"/>
    </row>
    <row r="91" spans="1:15" s="31" customFormat="1" ht="27.6" x14ac:dyDescent="0.3">
      <c r="A91" s="47" t="s">
        <v>184</v>
      </c>
      <c r="B91" s="290" t="s">
        <v>185</v>
      </c>
      <c r="C91" s="74" t="s">
        <v>47</v>
      </c>
      <c r="D91" s="74" t="s">
        <v>186</v>
      </c>
      <c r="E91" s="75" t="s">
        <v>193</v>
      </c>
      <c r="F91" s="48" t="s">
        <v>22</v>
      </c>
      <c r="G91" s="49" t="s">
        <v>194</v>
      </c>
      <c r="H91" s="49" t="s">
        <v>23</v>
      </c>
      <c r="I91" s="50" t="s">
        <v>100</v>
      </c>
    </row>
    <row r="92" spans="1:15" s="31" customFormat="1" x14ac:dyDescent="0.3">
      <c r="A92" s="103"/>
      <c r="B92" s="294"/>
      <c r="C92" s="104"/>
      <c r="D92" s="104"/>
      <c r="E92" s="105"/>
      <c r="F92" s="36">
        <f t="shared" ref="F92:F99" si="32">C92*E92</f>
        <v>0</v>
      </c>
      <c r="G92" s="36">
        <f t="shared" ref="G92:G99" si="33">IF(A92="",0,E92*(1+VLOOKUP(A92,$O$5:$P$9,2,FALSE)))</f>
        <v>0</v>
      </c>
      <c r="H92" s="36">
        <f>C92*G92</f>
        <v>0</v>
      </c>
      <c r="I92" s="36">
        <f>IF(OR($P$15=0,$P$15=""),H92*1,H92*(1+$P$15))</f>
        <v>0</v>
      </c>
    </row>
    <row r="93" spans="1:15" s="31" customFormat="1" x14ac:dyDescent="0.3">
      <c r="A93" s="103"/>
      <c r="B93" s="294"/>
      <c r="C93" s="104"/>
      <c r="D93" s="104"/>
      <c r="E93" s="105"/>
      <c r="F93" s="36">
        <f t="shared" si="32"/>
        <v>0</v>
      </c>
      <c r="G93" s="36">
        <f t="shared" si="33"/>
        <v>0</v>
      </c>
      <c r="H93" s="36">
        <f t="shared" ref="H93:H99" si="34">C93*G93</f>
        <v>0</v>
      </c>
      <c r="I93" s="36">
        <f t="shared" ref="I93:I99" si="35">IF(OR($P$15=0,$P$15=""),H93*1,H93*(1+$P$15))</f>
        <v>0</v>
      </c>
    </row>
    <row r="94" spans="1:15" s="31" customFormat="1" x14ac:dyDescent="0.3">
      <c r="A94" s="103"/>
      <c r="B94" s="294"/>
      <c r="C94" s="104"/>
      <c r="D94" s="104"/>
      <c r="E94" s="105"/>
      <c r="F94" s="36">
        <f t="shared" si="32"/>
        <v>0</v>
      </c>
      <c r="G94" s="36">
        <f t="shared" si="33"/>
        <v>0</v>
      </c>
      <c r="H94" s="36">
        <f t="shared" si="34"/>
        <v>0</v>
      </c>
      <c r="I94" s="36">
        <f t="shared" si="35"/>
        <v>0</v>
      </c>
    </row>
    <row r="95" spans="1:15" s="31" customFormat="1" x14ac:dyDescent="0.3">
      <c r="A95" s="103"/>
      <c r="B95" s="294"/>
      <c r="C95" s="104"/>
      <c r="D95" s="104"/>
      <c r="E95" s="105"/>
      <c r="F95" s="36">
        <f t="shared" si="32"/>
        <v>0</v>
      </c>
      <c r="G95" s="36">
        <f t="shared" si="33"/>
        <v>0</v>
      </c>
      <c r="H95" s="36">
        <f t="shared" si="34"/>
        <v>0</v>
      </c>
      <c r="I95" s="36">
        <f t="shared" si="35"/>
        <v>0</v>
      </c>
    </row>
    <row r="96" spans="1:15" s="31" customFormat="1" x14ac:dyDescent="0.3">
      <c r="A96" s="103"/>
      <c r="B96" s="294"/>
      <c r="C96" s="104"/>
      <c r="D96" s="104"/>
      <c r="E96" s="105"/>
      <c r="F96" s="36">
        <f t="shared" si="32"/>
        <v>0</v>
      </c>
      <c r="G96" s="36">
        <f t="shared" si="33"/>
        <v>0</v>
      </c>
      <c r="H96" s="36">
        <f t="shared" si="34"/>
        <v>0</v>
      </c>
      <c r="I96" s="36">
        <f t="shared" si="35"/>
        <v>0</v>
      </c>
    </row>
    <row r="97" spans="1:15" s="31" customFormat="1" x14ac:dyDescent="0.3">
      <c r="A97" s="103"/>
      <c r="B97" s="294"/>
      <c r="C97" s="104"/>
      <c r="D97" s="104"/>
      <c r="E97" s="105"/>
      <c r="F97" s="36">
        <f t="shared" si="32"/>
        <v>0</v>
      </c>
      <c r="G97" s="36">
        <f t="shared" si="33"/>
        <v>0</v>
      </c>
      <c r="H97" s="36">
        <f t="shared" si="34"/>
        <v>0</v>
      </c>
      <c r="I97" s="36">
        <f t="shared" si="35"/>
        <v>0</v>
      </c>
    </row>
    <row r="98" spans="1:15" s="31" customFormat="1" x14ac:dyDescent="0.3">
      <c r="A98" s="103"/>
      <c r="B98" s="294"/>
      <c r="C98" s="104"/>
      <c r="D98" s="104"/>
      <c r="E98" s="105"/>
      <c r="F98" s="36">
        <f t="shared" si="32"/>
        <v>0</v>
      </c>
      <c r="G98" s="36">
        <f t="shared" si="33"/>
        <v>0</v>
      </c>
      <c r="H98" s="36">
        <f t="shared" si="34"/>
        <v>0</v>
      </c>
      <c r="I98" s="36">
        <f t="shared" si="35"/>
        <v>0</v>
      </c>
    </row>
    <row r="99" spans="1:15" s="31" customFormat="1" x14ac:dyDescent="0.3">
      <c r="A99" s="106"/>
      <c r="B99" s="296"/>
      <c r="C99" s="107"/>
      <c r="D99" s="107"/>
      <c r="E99" s="108"/>
      <c r="F99" s="36">
        <f t="shared" si="32"/>
        <v>0</v>
      </c>
      <c r="G99" s="36">
        <f t="shared" si="33"/>
        <v>0</v>
      </c>
      <c r="H99" s="36">
        <f t="shared" si="34"/>
        <v>0</v>
      </c>
      <c r="I99" s="36">
        <f t="shared" si="35"/>
        <v>0</v>
      </c>
      <c r="J99" s="56" t="s">
        <v>108</v>
      </c>
      <c r="K99" s="55" t="s">
        <v>109</v>
      </c>
    </row>
    <row r="100" spans="1:15" s="31" customFormat="1" x14ac:dyDescent="0.3">
      <c r="B100" s="99"/>
      <c r="D100" s="32"/>
      <c r="E100" s="36"/>
      <c r="F100" s="54">
        <f>SUM(F92:F99)</f>
        <v>0</v>
      </c>
      <c r="G100" s="54">
        <f>SUM(G92:G99)</f>
        <v>0</v>
      </c>
      <c r="H100" s="54">
        <f>SUM(H92:H99)</f>
        <v>0</v>
      </c>
      <c r="I100" s="54">
        <f>SUM(I92:I99)</f>
        <v>0</v>
      </c>
      <c r="J100" s="54">
        <f>F100</f>
        <v>0</v>
      </c>
      <c r="K100" s="34">
        <f>I100</f>
        <v>0</v>
      </c>
      <c r="L100" s="155">
        <f>IF(F100=0,0,(I100-F100)/F100)</f>
        <v>0</v>
      </c>
      <c r="M100" s="120">
        <f>SUM(I92:I99)-SUM(F92:F99)</f>
        <v>0</v>
      </c>
      <c r="N100" s="86"/>
    </row>
    <row r="101" spans="1:15" ht="15.6" x14ac:dyDescent="0.3">
      <c r="A101" s="261" t="str">
        <f>'Subcontract 2'!B256</f>
        <v>#10</v>
      </c>
      <c r="B101" s="293"/>
      <c r="C101" s="112"/>
      <c r="D101" s="113"/>
      <c r="E101" s="112"/>
      <c r="F101" s="112"/>
      <c r="G101" s="112"/>
      <c r="H101" s="112"/>
      <c r="I101" s="112"/>
      <c r="J101" s="112"/>
      <c r="K101" s="112"/>
      <c r="L101" s="112"/>
      <c r="M101" s="112"/>
      <c r="O101"/>
    </row>
    <row r="102" spans="1:15" s="31" customFormat="1" ht="27.6" x14ac:dyDescent="0.3">
      <c r="A102" s="47" t="s">
        <v>184</v>
      </c>
      <c r="B102" s="290" t="s">
        <v>185</v>
      </c>
      <c r="C102" s="74" t="s">
        <v>47</v>
      </c>
      <c r="D102" s="74" t="s">
        <v>186</v>
      </c>
      <c r="E102" s="75" t="s">
        <v>193</v>
      </c>
      <c r="F102" s="48" t="s">
        <v>22</v>
      </c>
      <c r="G102" s="49" t="s">
        <v>194</v>
      </c>
      <c r="H102" s="49" t="s">
        <v>23</v>
      </c>
      <c r="I102" s="50" t="s">
        <v>100</v>
      </c>
    </row>
    <row r="103" spans="1:15" s="31" customFormat="1" x14ac:dyDescent="0.3">
      <c r="A103" s="103"/>
      <c r="B103" s="294"/>
      <c r="C103" s="104"/>
      <c r="D103" s="104"/>
      <c r="E103" s="105"/>
      <c r="F103" s="36">
        <f t="shared" ref="F103:F110" si="36">C103*E103</f>
        <v>0</v>
      </c>
      <c r="G103" s="36">
        <f t="shared" ref="G103:G110" si="37">IF(A103="",0,E103*(1+VLOOKUP(A103,$O$5:$P$9,2,FALSE)))</f>
        <v>0</v>
      </c>
      <c r="H103" s="36">
        <f>C103*G103</f>
        <v>0</v>
      </c>
      <c r="I103" s="36">
        <f>IF(OR($P$15=0,$P$15=""),H103*1,H103*(1+$P$15))</f>
        <v>0</v>
      </c>
    </row>
    <row r="104" spans="1:15" s="31" customFormat="1" x14ac:dyDescent="0.3">
      <c r="A104" s="103"/>
      <c r="B104" s="294"/>
      <c r="C104" s="104"/>
      <c r="D104" s="104"/>
      <c r="E104" s="105"/>
      <c r="F104" s="36">
        <f t="shared" si="36"/>
        <v>0</v>
      </c>
      <c r="G104" s="36">
        <f t="shared" si="37"/>
        <v>0</v>
      </c>
      <c r="H104" s="36">
        <f t="shared" ref="H104:H110" si="38">C104*G104</f>
        <v>0</v>
      </c>
      <c r="I104" s="36">
        <f t="shared" ref="I104:I110" si="39">IF(OR($P$15=0,$P$15=""),H104*1,H104*(1+$P$15))</f>
        <v>0</v>
      </c>
    </row>
    <row r="105" spans="1:15" s="31" customFormat="1" x14ac:dyDescent="0.3">
      <c r="A105" s="103"/>
      <c r="B105" s="294"/>
      <c r="C105" s="104"/>
      <c r="D105" s="104"/>
      <c r="E105" s="105"/>
      <c r="F105" s="36">
        <f t="shared" si="36"/>
        <v>0</v>
      </c>
      <c r="G105" s="36">
        <f t="shared" si="37"/>
        <v>0</v>
      </c>
      <c r="H105" s="36">
        <f t="shared" si="38"/>
        <v>0</v>
      </c>
      <c r="I105" s="36">
        <f t="shared" si="39"/>
        <v>0</v>
      </c>
    </row>
    <row r="106" spans="1:15" s="31" customFormat="1" x14ac:dyDescent="0.3">
      <c r="A106" s="103"/>
      <c r="B106" s="294"/>
      <c r="C106" s="104"/>
      <c r="D106" s="104"/>
      <c r="E106" s="105"/>
      <c r="F106" s="36">
        <f t="shared" si="36"/>
        <v>0</v>
      </c>
      <c r="G106" s="36">
        <f t="shared" si="37"/>
        <v>0</v>
      </c>
      <c r="H106" s="36">
        <f t="shared" si="38"/>
        <v>0</v>
      </c>
      <c r="I106" s="36">
        <f t="shared" si="39"/>
        <v>0</v>
      </c>
    </row>
    <row r="107" spans="1:15" s="31" customFormat="1" x14ac:dyDescent="0.3">
      <c r="A107" s="103"/>
      <c r="B107" s="294"/>
      <c r="C107" s="104"/>
      <c r="D107" s="104"/>
      <c r="E107" s="105"/>
      <c r="F107" s="36">
        <f t="shared" si="36"/>
        <v>0</v>
      </c>
      <c r="G107" s="36">
        <f t="shared" si="37"/>
        <v>0</v>
      </c>
      <c r="H107" s="36">
        <f t="shared" si="38"/>
        <v>0</v>
      </c>
      <c r="I107" s="36">
        <f t="shared" si="39"/>
        <v>0</v>
      </c>
    </row>
    <row r="108" spans="1:15" s="31" customFormat="1" x14ac:dyDescent="0.3">
      <c r="A108" s="103"/>
      <c r="B108" s="294"/>
      <c r="C108" s="104"/>
      <c r="D108" s="104"/>
      <c r="E108" s="105"/>
      <c r="F108" s="36">
        <f t="shared" si="36"/>
        <v>0</v>
      </c>
      <c r="G108" s="36">
        <f t="shared" si="37"/>
        <v>0</v>
      </c>
      <c r="H108" s="36">
        <f t="shared" si="38"/>
        <v>0</v>
      </c>
      <c r="I108" s="36">
        <f t="shared" si="39"/>
        <v>0</v>
      </c>
    </row>
    <row r="109" spans="1:15" s="31" customFormat="1" x14ac:dyDescent="0.3">
      <c r="A109" s="103"/>
      <c r="B109" s="294"/>
      <c r="C109" s="104"/>
      <c r="D109" s="104"/>
      <c r="E109" s="105"/>
      <c r="F109" s="36">
        <f t="shared" si="36"/>
        <v>0</v>
      </c>
      <c r="G109" s="36">
        <f t="shared" si="37"/>
        <v>0</v>
      </c>
      <c r="H109" s="36">
        <f t="shared" si="38"/>
        <v>0</v>
      </c>
      <c r="I109" s="36">
        <f t="shared" si="39"/>
        <v>0</v>
      </c>
    </row>
    <row r="110" spans="1:15" s="31" customFormat="1" x14ac:dyDescent="0.3">
      <c r="A110" s="106"/>
      <c r="B110" s="296"/>
      <c r="C110" s="107"/>
      <c r="D110" s="107"/>
      <c r="E110" s="108"/>
      <c r="F110" s="36">
        <f t="shared" si="36"/>
        <v>0</v>
      </c>
      <c r="G110" s="36">
        <f t="shared" si="37"/>
        <v>0</v>
      </c>
      <c r="H110" s="36">
        <f t="shared" si="38"/>
        <v>0</v>
      </c>
      <c r="I110" s="36">
        <f t="shared" si="39"/>
        <v>0</v>
      </c>
      <c r="J110" s="56" t="s">
        <v>108</v>
      </c>
      <c r="K110" s="55" t="s">
        <v>109</v>
      </c>
    </row>
    <row r="111" spans="1:15" s="31" customFormat="1" x14ac:dyDescent="0.3">
      <c r="B111" s="99"/>
      <c r="D111" s="32"/>
      <c r="E111" s="36"/>
      <c r="F111" s="54">
        <f>SUM(F103:F110)</f>
        <v>0</v>
      </c>
      <c r="G111" s="54">
        <f>SUM(G103:G110)</f>
        <v>0</v>
      </c>
      <c r="H111" s="54">
        <f>SUM(H103:H110)</f>
        <v>0</v>
      </c>
      <c r="I111" s="54">
        <f>SUM(I103:I110)</f>
        <v>0</v>
      </c>
      <c r="J111" s="54">
        <f>F111</f>
        <v>0</v>
      </c>
      <c r="K111" s="34">
        <f>I111</f>
        <v>0</v>
      </c>
      <c r="L111" s="155">
        <f>IF(F111=0,0,(I111-F111)/F111)</f>
        <v>0</v>
      </c>
      <c r="M111" s="120">
        <f>SUM(I103:I110)-SUM(F103:F110)</f>
        <v>0</v>
      </c>
      <c r="N111" s="86"/>
    </row>
    <row r="112" spans="1:15" ht="15.6" x14ac:dyDescent="0.3">
      <c r="A112" s="261" t="str">
        <f>'Subcontract 2'!B284</f>
        <v>#11</v>
      </c>
      <c r="B112" s="293"/>
      <c r="C112" s="112"/>
      <c r="D112" s="113"/>
      <c r="E112" s="112"/>
      <c r="F112" s="112"/>
      <c r="G112" s="112"/>
      <c r="H112" s="112"/>
      <c r="I112" s="112"/>
      <c r="J112" s="112"/>
      <c r="K112" s="112"/>
      <c r="L112" s="112"/>
      <c r="M112" s="112"/>
      <c r="O112"/>
    </row>
    <row r="113" spans="1:15" s="31" customFormat="1" ht="27.6" x14ac:dyDescent="0.3">
      <c r="A113" s="47" t="s">
        <v>184</v>
      </c>
      <c r="B113" s="290" t="s">
        <v>185</v>
      </c>
      <c r="C113" s="74" t="s">
        <v>47</v>
      </c>
      <c r="D113" s="74" t="s">
        <v>186</v>
      </c>
      <c r="E113" s="75" t="s">
        <v>193</v>
      </c>
      <c r="F113" s="48" t="s">
        <v>22</v>
      </c>
      <c r="G113" s="49" t="s">
        <v>194</v>
      </c>
      <c r="H113" s="49" t="s">
        <v>23</v>
      </c>
      <c r="I113" s="50" t="s">
        <v>100</v>
      </c>
    </row>
    <row r="114" spans="1:15" s="31" customFormat="1" x14ac:dyDescent="0.3">
      <c r="A114" s="103"/>
      <c r="B114" s="294"/>
      <c r="C114" s="104"/>
      <c r="D114" s="104"/>
      <c r="E114" s="105"/>
      <c r="F114" s="36">
        <f t="shared" ref="F114:F121" si="40">C114*E114</f>
        <v>0</v>
      </c>
      <c r="G114" s="36">
        <f t="shared" ref="G114:G121" si="41">IF(A114="",0,E114*(1+VLOOKUP(A114,$O$5:$P$9,2,FALSE)))</f>
        <v>0</v>
      </c>
      <c r="H114" s="36">
        <f>C114*G114</f>
        <v>0</v>
      </c>
      <c r="I114" s="36">
        <f>IF(OR($P$15=0,$P$15=""),H114*1,H114*(1+$P$15))</f>
        <v>0</v>
      </c>
    </row>
    <row r="115" spans="1:15" s="31" customFormat="1" x14ac:dyDescent="0.3">
      <c r="A115" s="103"/>
      <c r="B115" s="294"/>
      <c r="C115" s="104"/>
      <c r="D115" s="104"/>
      <c r="E115" s="105"/>
      <c r="F115" s="36">
        <f t="shared" si="40"/>
        <v>0</v>
      </c>
      <c r="G115" s="36">
        <f t="shared" si="41"/>
        <v>0</v>
      </c>
      <c r="H115" s="36">
        <f t="shared" ref="H115:H121" si="42">C115*G115</f>
        <v>0</v>
      </c>
      <c r="I115" s="36">
        <f t="shared" ref="I115:I121" si="43">IF(OR($P$15=0,$P$15=""),H115*1,H115*(1+$P$15))</f>
        <v>0</v>
      </c>
    </row>
    <row r="116" spans="1:15" s="31" customFormat="1" x14ac:dyDescent="0.3">
      <c r="A116" s="103"/>
      <c r="B116" s="294"/>
      <c r="C116" s="104"/>
      <c r="D116" s="104"/>
      <c r="E116" s="105"/>
      <c r="F116" s="36">
        <f t="shared" si="40"/>
        <v>0</v>
      </c>
      <c r="G116" s="36">
        <f t="shared" si="41"/>
        <v>0</v>
      </c>
      <c r="H116" s="36">
        <f t="shared" si="42"/>
        <v>0</v>
      </c>
      <c r="I116" s="36">
        <f t="shared" si="43"/>
        <v>0</v>
      </c>
    </row>
    <row r="117" spans="1:15" s="31" customFormat="1" x14ac:dyDescent="0.3">
      <c r="A117" s="103"/>
      <c r="B117" s="294"/>
      <c r="C117" s="104"/>
      <c r="D117" s="104"/>
      <c r="E117" s="105"/>
      <c r="F117" s="36">
        <f t="shared" si="40"/>
        <v>0</v>
      </c>
      <c r="G117" s="36">
        <f t="shared" si="41"/>
        <v>0</v>
      </c>
      <c r="H117" s="36">
        <f t="shared" si="42"/>
        <v>0</v>
      </c>
      <c r="I117" s="36">
        <f t="shared" si="43"/>
        <v>0</v>
      </c>
    </row>
    <row r="118" spans="1:15" s="31" customFormat="1" x14ac:dyDescent="0.3">
      <c r="A118" s="103"/>
      <c r="B118" s="294"/>
      <c r="C118" s="104"/>
      <c r="D118" s="104"/>
      <c r="E118" s="105"/>
      <c r="F118" s="36">
        <f t="shared" si="40"/>
        <v>0</v>
      </c>
      <c r="G118" s="36">
        <f t="shared" si="41"/>
        <v>0</v>
      </c>
      <c r="H118" s="36">
        <f t="shared" si="42"/>
        <v>0</v>
      </c>
      <c r="I118" s="36">
        <f t="shared" si="43"/>
        <v>0</v>
      </c>
    </row>
    <row r="119" spans="1:15" s="31" customFormat="1" x14ac:dyDescent="0.3">
      <c r="A119" s="103"/>
      <c r="B119" s="294"/>
      <c r="C119" s="104"/>
      <c r="D119" s="104"/>
      <c r="E119" s="105"/>
      <c r="F119" s="36">
        <f t="shared" si="40"/>
        <v>0</v>
      </c>
      <c r="G119" s="36">
        <f t="shared" si="41"/>
        <v>0</v>
      </c>
      <c r="H119" s="36">
        <f t="shared" si="42"/>
        <v>0</v>
      </c>
      <c r="I119" s="36">
        <f t="shared" si="43"/>
        <v>0</v>
      </c>
    </row>
    <row r="120" spans="1:15" s="31" customFormat="1" x14ac:dyDescent="0.3">
      <c r="A120" s="103"/>
      <c r="B120" s="294"/>
      <c r="C120" s="104"/>
      <c r="D120" s="104"/>
      <c r="E120" s="105"/>
      <c r="F120" s="36">
        <f t="shared" si="40"/>
        <v>0</v>
      </c>
      <c r="G120" s="36">
        <f t="shared" si="41"/>
        <v>0</v>
      </c>
      <c r="H120" s="36">
        <f t="shared" si="42"/>
        <v>0</v>
      </c>
      <c r="I120" s="36">
        <f t="shared" si="43"/>
        <v>0</v>
      </c>
    </row>
    <row r="121" spans="1:15" s="31" customFormat="1" x14ac:dyDescent="0.3">
      <c r="A121" s="106"/>
      <c r="B121" s="296"/>
      <c r="C121" s="107"/>
      <c r="D121" s="107"/>
      <c r="E121" s="108"/>
      <c r="F121" s="36">
        <f t="shared" si="40"/>
        <v>0</v>
      </c>
      <c r="G121" s="36">
        <f t="shared" si="41"/>
        <v>0</v>
      </c>
      <c r="H121" s="36">
        <f t="shared" si="42"/>
        <v>0</v>
      </c>
      <c r="I121" s="36">
        <f t="shared" si="43"/>
        <v>0</v>
      </c>
      <c r="J121" s="56" t="s">
        <v>108</v>
      </c>
      <c r="K121" s="55" t="s">
        <v>109</v>
      </c>
    </row>
    <row r="122" spans="1:15" s="31" customFormat="1" x14ac:dyDescent="0.3">
      <c r="B122" s="99"/>
      <c r="D122" s="32"/>
      <c r="E122" s="36"/>
      <c r="F122" s="54">
        <f>SUM(F114:F121)</f>
        <v>0</v>
      </c>
      <c r="G122" s="54">
        <f>SUM(G114:G121)</f>
        <v>0</v>
      </c>
      <c r="H122" s="54">
        <f>SUM(H114:H121)</f>
        <v>0</v>
      </c>
      <c r="I122" s="54">
        <f>SUM(I114:I121)</f>
        <v>0</v>
      </c>
      <c r="J122" s="54">
        <f>F122</f>
        <v>0</v>
      </c>
      <c r="K122" s="34">
        <f>I122</f>
        <v>0</v>
      </c>
      <c r="L122" s="155">
        <f>IF(F122=0,0,(I122-F122)/F122)</f>
        <v>0</v>
      </c>
      <c r="M122" s="120">
        <f>SUM(I114:I121)-SUM(F114:F121)</f>
        <v>0</v>
      </c>
      <c r="N122" s="86"/>
    </row>
    <row r="123" spans="1:15" ht="15.6" x14ac:dyDescent="0.3">
      <c r="A123" s="261" t="str">
        <f>'Subcontract 2'!B312</f>
        <v>#12</v>
      </c>
      <c r="B123" s="293"/>
      <c r="C123" s="112"/>
      <c r="D123" s="113"/>
      <c r="E123" s="112"/>
      <c r="F123" s="112"/>
      <c r="G123" s="112"/>
      <c r="H123" s="112"/>
      <c r="I123" s="112"/>
      <c r="J123" s="112"/>
      <c r="K123" s="112"/>
      <c r="L123" s="112"/>
      <c r="M123" s="112"/>
      <c r="O123"/>
    </row>
    <row r="124" spans="1:15" s="31" customFormat="1" ht="27.6" x14ac:dyDescent="0.3">
      <c r="A124" s="47" t="s">
        <v>184</v>
      </c>
      <c r="B124" s="290" t="s">
        <v>185</v>
      </c>
      <c r="C124" s="74" t="s">
        <v>47</v>
      </c>
      <c r="D124" s="74" t="s">
        <v>186</v>
      </c>
      <c r="E124" s="75" t="s">
        <v>193</v>
      </c>
      <c r="F124" s="48" t="s">
        <v>22</v>
      </c>
      <c r="G124" s="49" t="s">
        <v>194</v>
      </c>
      <c r="H124" s="49" t="s">
        <v>23</v>
      </c>
      <c r="I124" s="50" t="s">
        <v>100</v>
      </c>
    </row>
    <row r="125" spans="1:15" s="31" customFormat="1" x14ac:dyDescent="0.3">
      <c r="A125" s="103"/>
      <c r="B125" s="294"/>
      <c r="C125" s="104"/>
      <c r="D125" s="104"/>
      <c r="E125" s="105"/>
      <c r="F125" s="36">
        <f t="shared" ref="F125:F132" si="44">C125*E125</f>
        <v>0</v>
      </c>
      <c r="G125" s="36">
        <f t="shared" ref="G125:G132" si="45">IF(A125="",0,E125*(1+VLOOKUP(A125,$O$5:$P$9,2,FALSE)))</f>
        <v>0</v>
      </c>
      <c r="H125" s="36">
        <f>C125*G125</f>
        <v>0</v>
      </c>
      <c r="I125" s="36">
        <f>IF(OR($P$15=0,$P$15=""),H125*1,H125*(1+$P$15))</f>
        <v>0</v>
      </c>
    </row>
    <row r="126" spans="1:15" s="31" customFormat="1" x14ac:dyDescent="0.3">
      <c r="A126" s="101"/>
      <c r="B126" s="294"/>
      <c r="C126" s="104"/>
      <c r="D126" s="104"/>
      <c r="E126" s="105"/>
      <c r="F126" s="36">
        <f t="shared" si="44"/>
        <v>0</v>
      </c>
      <c r="G126" s="36">
        <f t="shared" si="45"/>
        <v>0</v>
      </c>
      <c r="H126" s="36">
        <f t="shared" ref="H126:H132" si="46">C126*G126</f>
        <v>0</v>
      </c>
      <c r="I126" s="36">
        <f t="shared" ref="I126:I132" si="47">IF(OR($P$15=0,$P$15=""),H126*1,H126*(1+$P$15))</f>
        <v>0</v>
      </c>
    </row>
    <row r="127" spans="1:15" s="31" customFormat="1" x14ac:dyDescent="0.3">
      <c r="A127" s="101"/>
      <c r="B127" s="294"/>
      <c r="C127" s="104"/>
      <c r="D127" s="104"/>
      <c r="E127" s="105"/>
      <c r="F127" s="36">
        <f t="shared" si="44"/>
        <v>0</v>
      </c>
      <c r="G127" s="36">
        <f t="shared" si="45"/>
        <v>0</v>
      </c>
      <c r="H127" s="36">
        <f t="shared" si="46"/>
        <v>0</v>
      </c>
      <c r="I127" s="36">
        <f t="shared" si="47"/>
        <v>0</v>
      </c>
    </row>
    <row r="128" spans="1:15" s="31" customFormat="1" x14ac:dyDescent="0.3">
      <c r="A128" s="101"/>
      <c r="B128" s="294"/>
      <c r="C128" s="104"/>
      <c r="D128" s="104"/>
      <c r="E128" s="105"/>
      <c r="F128" s="36">
        <f t="shared" si="44"/>
        <v>0</v>
      </c>
      <c r="G128" s="36">
        <f t="shared" si="45"/>
        <v>0</v>
      </c>
      <c r="H128" s="36">
        <f t="shared" si="46"/>
        <v>0</v>
      </c>
      <c r="I128" s="36">
        <f t="shared" si="47"/>
        <v>0</v>
      </c>
    </row>
    <row r="129" spans="1:15" s="31" customFormat="1" x14ac:dyDescent="0.3">
      <c r="A129" s="103"/>
      <c r="B129" s="294"/>
      <c r="C129" s="104"/>
      <c r="D129" s="104"/>
      <c r="E129" s="105"/>
      <c r="F129" s="36">
        <f t="shared" si="44"/>
        <v>0</v>
      </c>
      <c r="G129" s="36">
        <f t="shared" si="45"/>
        <v>0</v>
      </c>
      <c r="H129" s="36">
        <f t="shared" si="46"/>
        <v>0</v>
      </c>
      <c r="I129" s="36">
        <f t="shared" si="47"/>
        <v>0</v>
      </c>
    </row>
    <row r="130" spans="1:15" s="31" customFormat="1" x14ac:dyDescent="0.3">
      <c r="A130" s="103"/>
      <c r="B130" s="294"/>
      <c r="C130" s="104"/>
      <c r="D130" s="104"/>
      <c r="E130" s="105"/>
      <c r="F130" s="36">
        <f t="shared" si="44"/>
        <v>0</v>
      </c>
      <c r="G130" s="36">
        <f t="shared" si="45"/>
        <v>0</v>
      </c>
      <c r="H130" s="36">
        <f t="shared" si="46"/>
        <v>0</v>
      </c>
      <c r="I130" s="36">
        <f t="shared" si="47"/>
        <v>0</v>
      </c>
    </row>
    <row r="131" spans="1:15" s="31" customFormat="1" x14ac:dyDescent="0.3">
      <c r="A131" s="103"/>
      <c r="B131" s="294"/>
      <c r="C131" s="104"/>
      <c r="D131" s="104"/>
      <c r="E131" s="105"/>
      <c r="F131" s="36">
        <f t="shared" si="44"/>
        <v>0</v>
      </c>
      <c r="G131" s="36">
        <f t="shared" si="45"/>
        <v>0</v>
      </c>
      <c r="H131" s="36">
        <f t="shared" si="46"/>
        <v>0</v>
      </c>
      <c r="I131" s="36">
        <f t="shared" si="47"/>
        <v>0</v>
      </c>
    </row>
    <row r="132" spans="1:15" s="31" customFormat="1" x14ac:dyDescent="0.3">
      <c r="A132" s="106"/>
      <c r="B132" s="296"/>
      <c r="C132" s="107"/>
      <c r="D132" s="107"/>
      <c r="E132" s="108"/>
      <c r="F132" s="36">
        <f t="shared" si="44"/>
        <v>0</v>
      </c>
      <c r="G132" s="36">
        <f t="shared" si="45"/>
        <v>0</v>
      </c>
      <c r="H132" s="36">
        <f t="shared" si="46"/>
        <v>0</v>
      </c>
      <c r="I132" s="36">
        <f t="shared" si="47"/>
        <v>0</v>
      </c>
      <c r="J132" s="56" t="s">
        <v>108</v>
      </c>
      <c r="K132" s="55" t="s">
        <v>109</v>
      </c>
    </row>
    <row r="133" spans="1:15" s="31" customFormat="1" x14ac:dyDescent="0.3">
      <c r="B133" s="99"/>
      <c r="D133" s="32"/>
      <c r="E133" s="36"/>
      <c r="F133" s="54">
        <f>SUM(F125:F132)</f>
        <v>0</v>
      </c>
      <c r="G133" s="54">
        <f>SUM(G125:G132)</f>
        <v>0</v>
      </c>
      <c r="H133" s="54">
        <f>SUM(H125:H132)</f>
        <v>0</v>
      </c>
      <c r="I133" s="54">
        <f>SUM(I125:I132)</f>
        <v>0</v>
      </c>
      <c r="J133" s="54">
        <f>F133</f>
        <v>0</v>
      </c>
      <c r="K133" s="34">
        <f>I133</f>
        <v>0</v>
      </c>
      <c r="L133" s="155">
        <f>IF(F133=0,0,(I133-F133)/F133)</f>
        <v>0</v>
      </c>
      <c r="M133" s="120">
        <f>SUM(I125:I132)-SUM(F125:F132)</f>
        <v>0</v>
      </c>
      <c r="N133" s="86"/>
    </row>
    <row r="134" spans="1:15" ht="15.6" x14ac:dyDescent="0.3">
      <c r="A134" s="261" t="str">
        <f>'Subcontract 2'!B340</f>
        <v>#13</v>
      </c>
      <c r="B134" s="293"/>
      <c r="C134" s="112"/>
      <c r="D134" s="113"/>
      <c r="E134" s="112"/>
      <c r="F134" s="112"/>
      <c r="G134" s="112"/>
      <c r="H134" s="112"/>
      <c r="I134" s="112"/>
      <c r="J134" s="112"/>
      <c r="K134" s="112"/>
      <c r="L134" s="112"/>
      <c r="M134" s="112"/>
      <c r="O134"/>
    </row>
    <row r="135" spans="1:15" s="31" customFormat="1" ht="27.6" x14ac:dyDescent="0.3">
      <c r="A135" s="47" t="s">
        <v>184</v>
      </c>
      <c r="B135" s="290" t="s">
        <v>185</v>
      </c>
      <c r="C135" s="74" t="s">
        <v>47</v>
      </c>
      <c r="D135" s="74" t="s">
        <v>186</v>
      </c>
      <c r="E135" s="75" t="s">
        <v>193</v>
      </c>
      <c r="F135" s="48" t="s">
        <v>22</v>
      </c>
      <c r="G135" s="49" t="s">
        <v>194</v>
      </c>
      <c r="H135" s="49" t="s">
        <v>23</v>
      </c>
      <c r="I135" s="50" t="s">
        <v>100</v>
      </c>
    </row>
    <row r="136" spans="1:15" s="31" customFormat="1" x14ac:dyDescent="0.3">
      <c r="A136" s="103"/>
      <c r="B136" s="294"/>
      <c r="C136" s="104"/>
      <c r="D136" s="104"/>
      <c r="E136" s="105"/>
      <c r="F136" s="36">
        <f t="shared" ref="F136:F149" si="48">C136*E136</f>
        <v>0</v>
      </c>
      <c r="G136" s="36">
        <f t="shared" ref="G136:G149" si="49">IF(A136="",0,E136*(1+VLOOKUP(A136,$O$5:$P$9,2,FALSE)))</f>
        <v>0</v>
      </c>
      <c r="H136" s="36">
        <f>C136*G136</f>
        <v>0</v>
      </c>
      <c r="I136" s="36">
        <f>IF(OR($P$15=0,$P$15=""),H136*1,H136*(1+$P$15))</f>
        <v>0</v>
      </c>
    </row>
    <row r="137" spans="1:15" s="31" customFormat="1" x14ac:dyDescent="0.3">
      <c r="A137" s="101"/>
      <c r="B137" s="294"/>
      <c r="C137" s="104"/>
      <c r="D137" s="104"/>
      <c r="E137" s="105"/>
      <c r="F137" s="36">
        <f t="shared" si="48"/>
        <v>0</v>
      </c>
      <c r="G137" s="36">
        <f t="shared" si="49"/>
        <v>0</v>
      </c>
      <c r="H137" s="36">
        <f t="shared" ref="H137:H149" si="50">C137*G137</f>
        <v>0</v>
      </c>
      <c r="I137" s="36">
        <f t="shared" ref="I137:I149" si="51">IF(OR($P$15=0,$P$15=""),H137*1,H137*(1+$P$15))</f>
        <v>0</v>
      </c>
    </row>
    <row r="138" spans="1:15" s="31" customFormat="1" x14ac:dyDescent="0.3">
      <c r="A138" s="101"/>
      <c r="B138" s="294"/>
      <c r="C138" s="104"/>
      <c r="D138" s="104"/>
      <c r="E138" s="105"/>
      <c r="F138" s="36">
        <f t="shared" si="48"/>
        <v>0</v>
      </c>
      <c r="G138" s="36">
        <f t="shared" si="49"/>
        <v>0</v>
      </c>
      <c r="H138" s="36">
        <f t="shared" si="50"/>
        <v>0</v>
      </c>
      <c r="I138" s="36">
        <f t="shared" si="51"/>
        <v>0</v>
      </c>
    </row>
    <row r="139" spans="1:15" s="31" customFormat="1" x14ac:dyDescent="0.3">
      <c r="A139" s="101"/>
      <c r="B139" s="294"/>
      <c r="C139" s="104"/>
      <c r="D139" s="104"/>
      <c r="E139" s="105"/>
      <c r="F139" s="36">
        <f t="shared" ref="F139:F145" si="52">C139*E139</f>
        <v>0</v>
      </c>
      <c r="G139" s="36">
        <f t="shared" si="49"/>
        <v>0</v>
      </c>
      <c r="H139" s="36">
        <f t="shared" ref="H139:H145" si="53">C139*G139</f>
        <v>0</v>
      </c>
      <c r="I139" s="36">
        <f t="shared" ref="I139:I145" si="54">IF(OR($P$15=0,$P$15=""),H139*1,H139*(1+$P$15))</f>
        <v>0</v>
      </c>
    </row>
    <row r="140" spans="1:15" s="31" customFormat="1" x14ac:dyDescent="0.3">
      <c r="A140" s="101"/>
      <c r="B140" s="294"/>
      <c r="C140" s="104"/>
      <c r="D140" s="104"/>
      <c r="E140" s="105"/>
      <c r="F140" s="36">
        <f t="shared" si="52"/>
        <v>0</v>
      </c>
      <c r="G140" s="36">
        <f t="shared" si="49"/>
        <v>0</v>
      </c>
      <c r="H140" s="36">
        <f t="shared" si="53"/>
        <v>0</v>
      </c>
      <c r="I140" s="36">
        <f t="shared" si="54"/>
        <v>0</v>
      </c>
    </row>
    <row r="141" spans="1:15" s="31" customFormat="1" x14ac:dyDescent="0.3">
      <c r="A141" s="101"/>
      <c r="B141" s="294"/>
      <c r="C141" s="104"/>
      <c r="D141" s="104"/>
      <c r="E141" s="298"/>
      <c r="F141" s="36">
        <f>C141*E141</f>
        <v>0</v>
      </c>
      <c r="G141" s="36">
        <f t="shared" si="49"/>
        <v>0</v>
      </c>
      <c r="H141" s="36">
        <f>C141*G141</f>
        <v>0</v>
      </c>
      <c r="I141" s="36">
        <f>IF(OR($P$15=0,$P$15=""),H141*1,H141*(1+$P$15))</f>
        <v>0</v>
      </c>
    </row>
    <row r="142" spans="1:15" s="31" customFormat="1" x14ac:dyDescent="0.3">
      <c r="A142" s="101"/>
      <c r="B142" s="294"/>
      <c r="C142" s="104"/>
      <c r="D142" s="104"/>
      <c r="E142" s="105"/>
      <c r="F142" s="36">
        <f>C142*E142</f>
        <v>0</v>
      </c>
      <c r="G142" s="36">
        <f t="shared" si="49"/>
        <v>0</v>
      </c>
      <c r="H142" s="36">
        <f>C142*G142</f>
        <v>0</v>
      </c>
      <c r="I142" s="36">
        <f>IF(OR($P$15=0,$P$15=""),H142*1,H142*(1+$P$15))</f>
        <v>0</v>
      </c>
    </row>
    <row r="143" spans="1:15" s="31" customFormat="1" x14ac:dyDescent="0.3">
      <c r="A143" s="101"/>
      <c r="B143" s="294"/>
      <c r="C143" s="104"/>
      <c r="D143" s="104"/>
      <c r="E143" s="105"/>
      <c r="F143" s="36">
        <f>C143*E143</f>
        <v>0</v>
      </c>
      <c r="G143" s="36">
        <f t="shared" si="49"/>
        <v>0</v>
      </c>
      <c r="H143" s="36">
        <f>C143*G143</f>
        <v>0</v>
      </c>
      <c r="I143" s="36">
        <f>IF(OR($P$15=0,$P$15=""),H143*1,H143*(1+$P$15))</f>
        <v>0</v>
      </c>
    </row>
    <row r="144" spans="1:15" s="31" customFormat="1" x14ac:dyDescent="0.3">
      <c r="A144" s="101"/>
      <c r="B144" s="294"/>
      <c r="C144" s="104"/>
      <c r="D144" s="104"/>
      <c r="E144" s="105"/>
      <c r="F144" s="36">
        <f t="shared" si="52"/>
        <v>0</v>
      </c>
      <c r="G144" s="36">
        <f t="shared" si="49"/>
        <v>0</v>
      </c>
      <c r="H144" s="36">
        <f t="shared" si="53"/>
        <v>0</v>
      </c>
      <c r="I144" s="36">
        <f t="shared" si="54"/>
        <v>0</v>
      </c>
    </row>
    <row r="145" spans="1:15" s="31" customFormat="1" x14ac:dyDescent="0.3">
      <c r="A145" s="103"/>
      <c r="B145" s="294"/>
      <c r="C145" s="104"/>
      <c r="D145" s="104"/>
      <c r="E145" s="105"/>
      <c r="F145" s="36">
        <f t="shared" si="52"/>
        <v>0</v>
      </c>
      <c r="G145" s="36">
        <f t="shared" si="49"/>
        <v>0</v>
      </c>
      <c r="H145" s="36">
        <f t="shared" si="53"/>
        <v>0</v>
      </c>
      <c r="I145" s="36">
        <f t="shared" si="54"/>
        <v>0</v>
      </c>
    </row>
    <row r="146" spans="1:15" s="31" customFormat="1" x14ac:dyDescent="0.3">
      <c r="A146" s="103"/>
      <c r="B146" s="294"/>
      <c r="C146" s="104"/>
      <c r="D146" s="104"/>
      <c r="E146" s="105"/>
      <c r="F146" s="36">
        <f t="shared" si="48"/>
        <v>0</v>
      </c>
      <c r="G146" s="36">
        <f t="shared" si="49"/>
        <v>0</v>
      </c>
      <c r="H146" s="36">
        <f t="shared" si="50"/>
        <v>0</v>
      </c>
      <c r="I146" s="36">
        <f t="shared" si="51"/>
        <v>0</v>
      </c>
    </row>
    <row r="147" spans="1:15" s="31" customFormat="1" x14ac:dyDescent="0.3">
      <c r="A147" s="103"/>
      <c r="B147" s="294"/>
      <c r="C147" s="104"/>
      <c r="D147" s="104"/>
      <c r="E147" s="105"/>
      <c r="F147" s="36">
        <f t="shared" si="48"/>
        <v>0</v>
      </c>
      <c r="G147" s="36">
        <f t="shared" si="49"/>
        <v>0</v>
      </c>
      <c r="H147" s="36">
        <f t="shared" si="50"/>
        <v>0</v>
      </c>
      <c r="I147" s="36">
        <f t="shared" si="51"/>
        <v>0</v>
      </c>
    </row>
    <row r="148" spans="1:15" s="31" customFormat="1" x14ac:dyDescent="0.3">
      <c r="A148" s="103"/>
      <c r="B148" s="294"/>
      <c r="C148" s="104"/>
      <c r="D148" s="104"/>
      <c r="E148" s="105"/>
      <c r="F148" s="36">
        <f t="shared" si="48"/>
        <v>0</v>
      </c>
      <c r="G148" s="36">
        <f t="shared" si="49"/>
        <v>0</v>
      </c>
      <c r="H148" s="36">
        <f t="shared" si="50"/>
        <v>0</v>
      </c>
      <c r="I148" s="36">
        <f t="shared" si="51"/>
        <v>0</v>
      </c>
    </row>
    <row r="149" spans="1:15" s="31" customFormat="1" x14ac:dyDescent="0.3">
      <c r="A149" s="106"/>
      <c r="B149" s="296"/>
      <c r="C149" s="107"/>
      <c r="D149" s="107"/>
      <c r="E149" s="108"/>
      <c r="F149" s="36">
        <f t="shared" si="48"/>
        <v>0</v>
      </c>
      <c r="G149" s="36">
        <f t="shared" si="49"/>
        <v>0</v>
      </c>
      <c r="H149" s="36">
        <f t="shared" si="50"/>
        <v>0</v>
      </c>
      <c r="I149" s="36">
        <f t="shared" si="51"/>
        <v>0</v>
      </c>
      <c r="J149" s="56" t="s">
        <v>108</v>
      </c>
      <c r="K149" s="55" t="s">
        <v>109</v>
      </c>
    </row>
    <row r="150" spans="1:15" s="31" customFormat="1" x14ac:dyDescent="0.3">
      <c r="A150" s="110"/>
      <c r="B150" s="299"/>
      <c r="C150" s="110"/>
      <c r="D150" s="277"/>
      <c r="E150" s="278"/>
      <c r="F150" s="118">
        <f>SUM(F136:F149)</f>
        <v>0</v>
      </c>
      <c r="G150" s="118">
        <f>SUM(G136:G149)</f>
        <v>0</v>
      </c>
      <c r="H150" s="118">
        <f>SUM(H136:H149)</f>
        <v>0</v>
      </c>
      <c r="I150" s="118">
        <f>SUM(I136:I149)</f>
        <v>0</v>
      </c>
      <c r="J150" s="118">
        <f>F150</f>
        <v>0</v>
      </c>
      <c r="K150" s="118">
        <f>I150</f>
        <v>0</v>
      </c>
      <c r="L150" s="280">
        <f>IF(F150=0,0,(I150-F150)/F150)</f>
        <v>0</v>
      </c>
      <c r="M150" s="281">
        <f>SUM(I136:I149)-SUM(F136:F149)</f>
        <v>0</v>
      </c>
      <c r="N150" s="86"/>
    </row>
    <row r="151" spans="1:15" ht="15.6" x14ac:dyDescent="0.3">
      <c r="A151" s="261" t="str">
        <f>'Subcontract 2'!B368</f>
        <v>#14</v>
      </c>
      <c r="B151" s="293"/>
      <c r="C151" s="112"/>
      <c r="D151" s="113"/>
      <c r="E151" s="112"/>
      <c r="F151" s="112"/>
      <c r="G151" s="112"/>
      <c r="H151" s="112"/>
      <c r="I151" s="112"/>
      <c r="J151" s="112"/>
      <c r="K151" s="112"/>
      <c r="L151" s="112"/>
      <c r="M151" s="112"/>
      <c r="O151"/>
    </row>
    <row r="152" spans="1:15" s="31" customFormat="1" ht="27.6" x14ac:dyDescent="0.3">
      <c r="A152" s="47" t="s">
        <v>184</v>
      </c>
      <c r="B152" s="290" t="s">
        <v>185</v>
      </c>
      <c r="C152" s="74" t="s">
        <v>47</v>
      </c>
      <c r="D152" s="74" t="s">
        <v>186</v>
      </c>
      <c r="E152" s="75" t="s">
        <v>193</v>
      </c>
      <c r="F152" s="48" t="s">
        <v>22</v>
      </c>
      <c r="G152" s="49" t="s">
        <v>194</v>
      </c>
      <c r="H152" s="49" t="s">
        <v>23</v>
      </c>
      <c r="I152" s="50" t="s">
        <v>100</v>
      </c>
    </row>
    <row r="153" spans="1:15" s="31" customFormat="1" x14ac:dyDescent="0.3">
      <c r="A153" s="103"/>
      <c r="B153" s="294"/>
      <c r="C153" s="104"/>
      <c r="D153" s="104"/>
      <c r="E153" s="105"/>
      <c r="F153" s="36">
        <f t="shared" ref="F153:F166" si="55">C153*E153</f>
        <v>0</v>
      </c>
      <c r="G153" s="36">
        <f t="shared" ref="G153:G166" si="56">IF(A153="",0,E153*(1+VLOOKUP(A153,$O$5:$P$9,2,FALSE)))</f>
        <v>0</v>
      </c>
      <c r="H153" s="36">
        <f>C153*G153</f>
        <v>0</v>
      </c>
      <c r="I153" s="36">
        <f>IF(OR($P$15=0,$P$15=""),H153*1,H153*(1+$P$15))</f>
        <v>0</v>
      </c>
    </row>
    <row r="154" spans="1:15" s="31" customFormat="1" x14ac:dyDescent="0.3">
      <c r="A154" s="101"/>
      <c r="B154" s="294"/>
      <c r="C154" s="104"/>
      <c r="D154" s="104"/>
      <c r="E154" s="105"/>
      <c r="F154" s="36">
        <f t="shared" si="55"/>
        <v>0</v>
      </c>
      <c r="G154" s="36">
        <f t="shared" si="56"/>
        <v>0</v>
      </c>
      <c r="H154" s="36">
        <f t="shared" ref="H154:H166" si="57">C154*G154</f>
        <v>0</v>
      </c>
      <c r="I154" s="36">
        <f t="shared" ref="I154:I166" si="58">IF(OR($P$15=0,$P$15=""),H154*1,H154*(1+$P$15))</f>
        <v>0</v>
      </c>
    </row>
    <row r="155" spans="1:15" s="31" customFormat="1" x14ac:dyDescent="0.3">
      <c r="A155" s="101"/>
      <c r="B155" s="294"/>
      <c r="C155" s="104"/>
      <c r="D155" s="104"/>
      <c r="E155" s="105"/>
      <c r="F155" s="36">
        <f t="shared" si="55"/>
        <v>0</v>
      </c>
      <c r="G155" s="36">
        <f t="shared" si="56"/>
        <v>0</v>
      </c>
      <c r="H155" s="36">
        <f t="shared" si="57"/>
        <v>0</v>
      </c>
      <c r="I155" s="36">
        <f t="shared" si="58"/>
        <v>0</v>
      </c>
    </row>
    <row r="156" spans="1:15" s="31" customFormat="1" x14ac:dyDescent="0.3">
      <c r="A156" s="101"/>
      <c r="B156" s="294"/>
      <c r="C156" s="104"/>
      <c r="D156" s="104"/>
      <c r="E156" s="105"/>
      <c r="F156" s="36">
        <f t="shared" si="55"/>
        <v>0</v>
      </c>
      <c r="G156" s="36">
        <f t="shared" si="56"/>
        <v>0</v>
      </c>
      <c r="H156" s="36">
        <f t="shared" si="57"/>
        <v>0</v>
      </c>
      <c r="I156" s="36">
        <f t="shared" si="58"/>
        <v>0</v>
      </c>
    </row>
    <row r="157" spans="1:15" s="31" customFormat="1" x14ac:dyDescent="0.3">
      <c r="A157" s="101"/>
      <c r="B157" s="294"/>
      <c r="C157" s="104"/>
      <c r="D157" s="104"/>
      <c r="E157" s="105"/>
      <c r="F157" s="36">
        <f t="shared" si="55"/>
        <v>0</v>
      </c>
      <c r="G157" s="36">
        <f t="shared" si="56"/>
        <v>0</v>
      </c>
      <c r="H157" s="36">
        <f t="shared" si="57"/>
        <v>0</v>
      </c>
      <c r="I157" s="36">
        <f t="shared" si="58"/>
        <v>0</v>
      </c>
    </row>
    <row r="158" spans="1:15" s="31" customFormat="1" x14ac:dyDescent="0.3">
      <c r="A158" s="101"/>
      <c r="B158" s="294"/>
      <c r="C158" s="104"/>
      <c r="D158" s="104"/>
      <c r="E158" s="298"/>
      <c r="F158" s="36">
        <f t="shared" si="55"/>
        <v>0</v>
      </c>
      <c r="G158" s="36">
        <f t="shared" si="56"/>
        <v>0</v>
      </c>
      <c r="H158" s="36">
        <f t="shared" si="57"/>
        <v>0</v>
      </c>
      <c r="I158" s="36">
        <f t="shared" si="58"/>
        <v>0</v>
      </c>
    </row>
    <row r="159" spans="1:15" s="31" customFormat="1" x14ac:dyDescent="0.3">
      <c r="A159" s="101"/>
      <c r="B159" s="294"/>
      <c r="C159" s="104"/>
      <c r="D159" s="104"/>
      <c r="E159" s="105"/>
      <c r="F159" s="36">
        <f t="shared" si="55"/>
        <v>0</v>
      </c>
      <c r="G159" s="36">
        <f t="shared" si="56"/>
        <v>0</v>
      </c>
      <c r="H159" s="36">
        <f t="shared" si="57"/>
        <v>0</v>
      </c>
      <c r="I159" s="36">
        <f t="shared" si="58"/>
        <v>0</v>
      </c>
    </row>
    <row r="160" spans="1:15" s="31" customFormat="1" x14ac:dyDescent="0.3">
      <c r="A160" s="101"/>
      <c r="B160" s="294"/>
      <c r="C160" s="104"/>
      <c r="D160" s="104"/>
      <c r="E160" s="105"/>
      <c r="F160" s="36">
        <f t="shared" si="55"/>
        <v>0</v>
      </c>
      <c r="G160" s="36">
        <f t="shared" si="56"/>
        <v>0</v>
      </c>
      <c r="H160" s="36">
        <f t="shared" si="57"/>
        <v>0</v>
      </c>
      <c r="I160" s="36">
        <f t="shared" si="58"/>
        <v>0</v>
      </c>
    </row>
    <row r="161" spans="1:14" s="31" customFormat="1" x14ac:dyDescent="0.3">
      <c r="A161" s="101"/>
      <c r="B161" s="294"/>
      <c r="C161" s="104"/>
      <c r="D161" s="104"/>
      <c r="E161" s="105"/>
      <c r="F161" s="36">
        <f t="shared" si="55"/>
        <v>0</v>
      </c>
      <c r="G161" s="36">
        <f t="shared" si="56"/>
        <v>0</v>
      </c>
      <c r="H161" s="36">
        <f t="shared" si="57"/>
        <v>0</v>
      </c>
      <c r="I161" s="36">
        <f t="shared" si="58"/>
        <v>0</v>
      </c>
    </row>
    <row r="162" spans="1:14" s="31" customFormat="1" x14ac:dyDescent="0.3">
      <c r="A162" s="103"/>
      <c r="B162" s="294"/>
      <c r="C162" s="104"/>
      <c r="D162" s="104"/>
      <c r="E162" s="105"/>
      <c r="F162" s="36">
        <f t="shared" si="55"/>
        <v>0</v>
      </c>
      <c r="G162" s="36">
        <f t="shared" si="56"/>
        <v>0</v>
      </c>
      <c r="H162" s="36">
        <f t="shared" si="57"/>
        <v>0</v>
      </c>
      <c r="I162" s="36">
        <f t="shared" si="58"/>
        <v>0</v>
      </c>
    </row>
    <row r="163" spans="1:14" s="31" customFormat="1" x14ac:dyDescent="0.3">
      <c r="A163" s="103"/>
      <c r="B163" s="294"/>
      <c r="C163" s="104"/>
      <c r="D163" s="104"/>
      <c r="E163" s="105"/>
      <c r="F163" s="36">
        <f t="shared" si="55"/>
        <v>0</v>
      </c>
      <c r="G163" s="36">
        <f t="shared" si="56"/>
        <v>0</v>
      </c>
      <c r="H163" s="36">
        <f t="shared" si="57"/>
        <v>0</v>
      </c>
      <c r="I163" s="36">
        <f t="shared" si="58"/>
        <v>0</v>
      </c>
    </row>
    <row r="164" spans="1:14" s="31" customFormat="1" x14ac:dyDescent="0.3">
      <c r="A164" s="103"/>
      <c r="B164" s="294"/>
      <c r="C164" s="104"/>
      <c r="D164" s="104"/>
      <c r="E164" s="105"/>
      <c r="F164" s="36">
        <f t="shared" si="55"/>
        <v>0</v>
      </c>
      <c r="G164" s="36">
        <f t="shared" si="56"/>
        <v>0</v>
      </c>
      <c r="H164" s="36">
        <f t="shared" si="57"/>
        <v>0</v>
      </c>
      <c r="I164" s="36">
        <f t="shared" si="58"/>
        <v>0</v>
      </c>
    </row>
    <row r="165" spans="1:14" s="31" customFormat="1" x14ac:dyDescent="0.3">
      <c r="A165" s="103"/>
      <c r="B165" s="294"/>
      <c r="C165" s="104"/>
      <c r="D165" s="104"/>
      <c r="E165" s="105"/>
      <c r="F165" s="36">
        <f t="shared" si="55"/>
        <v>0</v>
      </c>
      <c r="G165" s="36">
        <f t="shared" si="56"/>
        <v>0</v>
      </c>
      <c r="H165" s="36">
        <f t="shared" si="57"/>
        <v>0</v>
      </c>
      <c r="I165" s="36">
        <f t="shared" si="58"/>
        <v>0</v>
      </c>
    </row>
    <row r="166" spans="1:14" s="31" customFormat="1" x14ac:dyDescent="0.3">
      <c r="A166" s="106"/>
      <c r="B166" s="296"/>
      <c r="C166" s="107"/>
      <c r="D166" s="107"/>
      <c r="E166" s="108"/>
      <c r="F166" s="36">
        <f t="shared" si="55"/>
        <v>0</v>
      </c>
      <c r="G166" s="36">
        <f t="shared" si="56"/>
        <v>0</v>
      </c>
      <c r="H166" s="36">
        <f t="shared" si="57"/>
        <v>0</v>
      </c>
      <c r="I166" s="36">
        <f t="shared" si="58"/>
        <v>0</v>
      </c>
      <c r="J166" s="56" t="s">
        <v>108</v>
      </c>
      <c r="K166" s="55" t="s">
        <v>109</v>
      </c>
    </row>
    <row r="167" spans="1:14" s="31" customFormat="1" x14ac:dyDescent="0.3">
      <c r="A167" s="110"/>
      <c r="B167" s="299"/>
      <c r="C167" s="110"/>
      <c r="D167" s="277"/>
      <c r="E167" s="278"/>
      <c r="F167" s="118">
        <f>SUM(F153:F166)</f>
        <v>0</v>
      </c>
      <c r="G167" s="118">
        <f>SUM(G153:G166)</f>
        <v>0</v>
      </c>
      <c r="H167" s="118">
        <f>SUM(H153:H166)</f>
        <v>0</v>
      </c>
      <c r="I167" s="118">
        <f>SUM(I153:I166)</f>
        <v>0</v>
      </c>
      <c r="J167" s="118">
        <f>F167</f>
        <v>0</v>
      </c>
      <c r="K167" s="118">
        <f>I167</f>
        <v>0</v>
      </c>
      <c r="L167" s="280">
        <f>IF(F167=0,0,(I167-F167)/F167)</f>
        <v>0</v>
      </c>
      <c r="M167" s="281">
        <f>SUM(I153:I166)-SUM(F153:F166)</f>
        <v>0</v>
      </c>
      <c r="N167" s="86"/>
    </row>
  </sheetData>
  <dataValidations count="1">
    <dataValidation type="list" allowBlank="1" showErrorMessage="1" promptTitle="Mark Up Type" prompt="Please select the type of mark up to be applied to this item." sqref="A125:A132 A5:A11 A136:A149 A153:A166 A70:A77 A114:A121 A103:A110 A92:A99 A59:A66 A48:A55 A37:A44 A26:A33 A15:A22 A81:A88" xr:uid="{00000000-0002-0000-0A00-000000000000}">
      <formula1>$O$5:$O$9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&amp;C&amp;"Calibri,Bold"&amp;11&amp;UBudget Estimate Template&amp;R&amp;G</oddHeader>
    <oddFooter>&amp;L&amp;F - &amp;A&amp;CPage &amp;P of &amp;N&amp;R&amp;D</oddFooter>
  </headerFooter>
  <rowBreaks count="1" manualBreakCount="1">
    <brk id="45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7030A0"/>
    <pageSetUpPr fitToPage="1"/>
  </sheetPr>
  <dimension ref="A1:Q174"/>
  <sheetViews>
    <sheetView zoomScale="85" zoomScaleNormal="85" workbookViewId="0">
      <pane ySplit="2" topLeftCell="A43" activePane="bottomLeft" state="frozen"/>
      <selection activeCell="D17" sqref="D17"/>
      <selection pane="bottomLeft" activeCell="M18" sqref="M18:M19"/>
    </sheetView>
  </sheetViews>
  <sheetFormatPr defaultRowHeight="13.8" x14ac:dyDescent="0.3"/>
  <cols>
    <col min="1" max="1" width="12" style="33" customWidth="1"/>
    <col min="2" max="2" width="38.77734375" style="99" bestFit="1" customWidth="1"/>
    <col min="3" max="3" width="12.77734375" style="31" customWidth="1"/>
    <col min="4" max="4" width="10.44140625" style="32" customWidth="1"/>
    <col min="5" max="5" width="13.5546875" style="31" bestFit="1" customWidth="1"/>
    <col min="6" max="6" width="14.5546875" style="31" customWidth="1"/>
    <col min="7" max="7" width="13.5546875" style="31" bestFit="1" customWidth="1"/>
    <col min="8" max="11" width="14.5546875" style="31" customWidth="1"/>
    <col min="12" max="12" width="11.21875" style="31" customWidth="1"/>
    <col min="13" max="13" width="39.44140625" style="31" customWidth="1"/>
    <col min="14" max="14" width="2.77734375" style="31" customWidth="1"/>
    <col min="15" max="15" width="9.21875" style="31"/>
  </cols>
  <sheetData>
    <row r="1" spans="1:17" ht="15.6" x14ac:dyDescent="0.3">
      <c r="A1" s="64" t="s">
        <v>212</v>
      </c>
      <c r="B1" s="291"/>
    </row>
    <row r="2" spans="1:17" x14ac:dyDescent="0.3">
      <c r="B2" s="292"/>
    </row>
    <row r="3" spans="1:17" ht="15.6" x14ac:dyDescent="0.3">
      <c r="A3" s="261" t="str">
        <f>'Optional-3'!B4</f>
        <v>Optional Debeading</v>
      </c>
      <c r="B3" s="293"/>
      <c r="C3" s="111"/>
      <c r="D3" s="111"/>
      <c r="E3" s="111"/>
      <c r="F3" s="111"/>
      <c r="G3" s="111"/>
      <c r="H3" s="111"/>
      <c r="I3" s="111"/>
      <c r="J3" s="112"/>
      <c r="K3" s="112"/>
      <c r="L3" s="112"/>
      <c r="M3" s="112"/>
      <c r="Q3" s="31"/>
    </row>
    <row r="4" spans="1:17" s="31" customFormat="1" ht="27.6" x14ac:dyDescent="0.3">
      <c r="A4" s="47" t="s">
        <v>184</v>
      </c>
      <c r="B4" s="290" t="s">
        <v>185</v>
      </c>
      <c r="C4" s="74" t="s">
        <v>47</v>
      </c>
      <c r="D4" s="74" t="s">
        <v>186</v>
      </c>
      <c r="E4" s="75" t="s">
        <v>193</v>
      </c>
      <c r="F4" s="48" t="s">
        <v>22</v>
      </c>
      <c r="G4" s="49" t="s">
        <v>194</v>
      </c>
      <c r="H4" s="49" t="s">
        <v>23</v>
      </c>
      <c r="I4" s="50" t="s">
        <v>100</v>
      </c>
      <c r="J4" s="50"/>
      <c r="L4" s="48" t="s">
        <v>101</v>
      </c>
      <c r="M4" s="48" t="s">
        <v>0</v>
      </c>
      <c r="N4" s="48"/>
      <c r="O4" s="93" t="s">
        <v>85</v>
      </c>
      <c r="P4" s="94"/>
    </row>
    <row r="5" spans="1:17" s="31" customFormat="1" x14ac:dyDescent="0.3">
      <c r="A5" s="103"/>
      <c r="B5" s="347"/>
      <c r="C5" s="104"/>
      <c r="D5" s="104"/>
      <c r="E5" s="105"/>
      <c r="F5" s="36">
        <f t="shared" ref="F5:F6" si="0">C5*E5</f>
        <v>0</v>
      </c>
      <c r="G5" s="36">
        <f t="shared" ref="G5:G6" si="1">IF(A5="",0,E5*(1+VLOOKUP(A5,$O$5:$P$10,2,FALSE)))</f>
        <v>0</v>
      </c>
      <c r="H5" s="36">
        <f t="shared" ref="H5:H6" si="2">C5*G5</f>
        <v>0</v>
      </c>
      <c r="I5" s="36">
        <f t="shared" ref="I5:I6" si="3">IF(OR($P$16=0,$P$16=""),H5*1,H5*(1+$P$16))</f>
        <v>0</v>
      </c>
      <c r="O5" s="57"/>
      <c r="P5" s="58"/>
    </row>
    <row r="6" spans="1:17" s="31" customFormat="1" x14ac:dyDescent="0.3">
      <c r="A6" s="103"/>
      <c r="B6" s="294"/>
      <c r="C6" s="104"/>
      <c r="D6" s="104"/>
      <c r="E6" s="105"/>
      <c r="F6" s="36">
        <f t="shared" si="0"/>
        <v>0</v>
      </c>
      <c r="G6" s="36">
        <f t="shared" si="1"/>
        <v>0</v>
      </c>
      <c r="H6" s="36">
        <f t="shared" si="2"/>
        <v>0</v>
      </c>
      <c r="I6" s="36">
        <f t="shared" si="3"/>
        <v>0</v>
      </c>
      <c r="O6" s="57" t="s">
        <v>190</v>
      </c>
      <c r="P6" s="58">
        <v>2.5000000000000001E-2</v>
      </c>
    </row>
    <row r="7" spans="1:17" s="31" customFormat="1" x14ac:dyDescent="0.3">
      <c r="A7" s="103"/>
      <c r="B7" s="294"/>
      <c r="C7" s="104"/>
      <c r="D7" s="104"/>
      <c r="E7" s="105"/>
      <c r="F7" s="36">
        <f t="shared" ref="F7:F12" si="4">C7*E7</f>
        <v>0</v>
      </c>
      <c r="G7" s="36">
        <f t="shared" ref="G7:G12" si="5">IF(A7="",0,E7*(1+VLOOKUP(A7,$O$5:$P$10,2,FALSE)))</f>
        <v>0</v>
      </c>
      <c r="H7" s="36">
        <f t="shared" ref="H7:H12" si="6">C7*G7</f>
        <v>0</v>
      </c>
      <c r="I7" s="36">
        <f t="shared" ref="I7:I12" si="7">IF(OR($P$16=0,$P$16=""),H7*1,H7*(1+$P$16))</f>
        <v>0</v>
      </c>
      <c r="O7" s="57" t="s">
        <v>33</v>
      </c>
      <c r="P7" s="58">
        <f>'Materials 1'!P6</f>
        <v>0.2</v>
      </c>
    </row>
    <row r="8" spans="1:17" s="31" customFormat="1" x14ac:dyDescent="0.3">
      <c r="A8" s="103"/>
      <c r="B8" s="294"/>
      <c r="C8" s="104"/>
      <c r="D8" s="104"/>
      <c r="E8" s="105"/>
      <c r="F8" s="36">
        <f t="shared" si="4"/>
        <v>0</v>
      </c>
      <c r="G8" s="36">
        <f t="shared" si="5"/>
        <v>0</v>
      </c>
      <c r="H8" s="36">
        <f t="shared" si="6"/>
        <v>0</v>
      </c>
      <c r="I8" s="36">
        <f t="shared" si="7"/>
        <v>0</v>
      </c>
      <c r="O8" s="57" t="s">
        <v>188</v>
      </c>
      <c r="P8" s="58">
        <v>0.2</v>
      </c>
    </row>
    <row r="9" spans="1:17" s="31" customFormat="1" x14ac:dyDescent="0.3">
      <c r="A9" s="103"/>
      <c r="B9" s="294"/>
      <c r="C9" s="104"/>
      <c r="D9" s="104"/>
      <c r="E9" s="105"/>
      <c r="F9" s="36">
        <f t="shared" si="4"/>
        <v>0</v>
      </c>
      <c r="G9" s="36">
        <f t="shared" si="5"/>
        <v>0</v>
      </c>
      <c r="H9" s="36">
        <f t="shared" si="6"/>
        <v>0</v>
      </c>
      <c r="I9" s="36">
        <f t="shared" si="7"/>
        <v>0</v>
      </c>
      <c r="O9" s="57" t="s">
        <v>191</v>
      </c>
      <c r="P9" s="58">
        <f>'Materials 1'!P8</f>
        <v>5</v>
      </c>
    </row>
    <row r="10" spans="1:17" s="31" customFormat="1" x14ac:dyDescent="0.3">
      <c r="A10" s="103"/>
      <c r="B10" s="294"/>
      <c r="C10" s="104"/>
      <c r="D10" s="104"/>
      <c r="E10" s="105"/>
      <c r="F10" s="36">
        <f t="shared" si="4"/>
        <v>0</v>
      </c>
      <c r="G10" s="36">
        <f t="shared" si="5"/>
        <v>0</v>
      </c>
      <c r="H10" s="36">
        <f t="shared" si="6"/>
        <v>0</v>
      </c>
      <c r="I10" s="36">
        <f t="shared" si="7"/>
        <v>0</v>
      </c>
      <c r="O10" s="57" t="s">
        <v>192</v>
      </c>
      <c r="P10" s="58">
        <f>'Materials 1'!P9</f>
        <v>0</v>
      </c>
    </row>
    <row r="11" spans="1:17" s="31" customFormat="1" x14ac:dyDescent="0.3">
      <c r="A11" s="101"/>
      <c r="B11" s="294"/>
      <c r="C11" s="107"/>
      <c r="D11" s="107"/>
      <c r="E11" s="108"/>
      <c r="F11" s="36">
        <f t="shared" si="4"/>
        <v>0</v>
      </c>
      <c r="G11" s="36">
        <f t="shared" si="5"/>
        <v>0</v>
      </c>
      <c r="H11" s="36">
        <f t="shared" si="6"/>
        <v>0</v>
      </c>
      <c r="I11" s="36">
        <f t="shared" si="7"/>
        <v>0</v>
      </c>
    </row>
    <row r="12" spans="1:17" s="31" customFormat="1" x14ac:dyDescent="0.3">
      <c r="A12" s="101"/>
      <c r="B12" s="294"/>
      <c r="C12" s="107"/>
      <c r="D12" s="107"/>
      <c r="E12" s="108"/>
      <c r="F12" s="36">
        <f t="shared" si="4"/>
        <v>0</v>
      </c>
      <c r="G12" s="36">
        <f t="shared" si="5"/>
        <v>0</v>
      </c>
      <c r="H12" s="36">
        <f t="shared" si="6"/>
        <v>0</v>
      </c>
      <c r="I12" s="36">
        <f t="shared" si="7"/>
        <v>0</v>
      </c>
      <c r="J12" s="56" t="s">
        <v>108</v>
      </c>
      <c r="K12" s="55" t="s">
        <v>109</v>
      </c>
    </row>
    <row r="13" spans="1:17" s="31" customFormat="1" x14ac:dyDescent="0.3">
      <c r="A13" s="33"/>
      <c r="B13" s="99"/>
      <c r="D13" s="32"/>
      <c r="E13" s="36"/>
      <c r="F13" s="54">
        <f>SUM(F5:F12)</f>
        <v>0</v>
      </c>
      <c r="G13" s="54">
        <f>SUM(G5:G12)</f>
        <v>0</v>
      </c>
      <c r="H13" s="54">
        <f>SUM(H5:H12)</f>
        <v>0</v>
      </c>
      <c r="I13" s="54">
        <f>SUM(I5:I12)</f>
        <v>0</v>
      </c>
      <c r="J13" s="54">
        <f>F13</f>
        <v>0</v>
      </c>
      <c r="K13" s="34">
        <f>I13</f>
        <v>0</v>
      </c>
      <c r="L13" s="155">
        <f>IF(F13=0,0,(I13-F13)/F13)</f>
        <v>0</v>
      </c>
      <c r="M13" s="120">
        <f>SUM(I5:I12)-SUM(F5:F12)</f>
        <v>0</v>
      </c>
      <c r="N13" s="86"/>
    </row>
    <row r="14" spans="1:17" ht="15.6" x14ac:dyDescent="0.3">
      <c r="A14" s="261" t="str">
        <f>'Optional-3'!B32</f>
        <v>#2</v>
      </c>
      <c r="B14" s="293"/>
      <c r="C14" s="112"/>
      <c r="D14" s="113"/>
      <c r="E14" s="112"/>
      <c r="F14" s="112"/>
      <c r="G14" s="112"/>
      <c r="H14" s="112"/>
      <c r="I14" s="112"/>
      <c r="J14" s="112"/>
      <c r="K14" s="112"/>
      <c r="L14" s="112"/>
      <c r="M14" s="112"/>
      <c r="P14" s="31"/>
      <c r="Q14" s="31"/>
    </row>
    <row r="15" spans="1:17" s="31" customFormat="1" ht="27.6" x14ac:dyDescent="0.3">
      <c r="A15" s="47" t="s">
        <v>184</v>
      </c>
      <c r="B15" s="290" t="s">
        <v>185</v>
      </c>
      <c r="C15" s="74" t="s">
        <v>47</v>
      </c>
      <c r="D15" s="74" t="s">
        <v>186</v>
      </c>
      <c r="E15" s="75" t="s">
        <v>193</v>
      </c>
      <c r="F15" s="48" t="s">
        <v>22</v>
      </c>
      <c r="G15" s="49" t="s">
        <v>194</v>
      </c>
      <c r="H15" s="49" t="s">
        <v>23</v>
      </c>
      <c r="I15" s="50" t="s">
        <v>100</v>
      </c>
      <c r="O15" s="93" t="s">
        <v>195</v>
      </c>
      <c r="P15" s="94"/>
    </row>
    <row r="16" spans="1:17" s="31" customFormat="1" x14ac:dyDescent="0.3">
      <c r="A16" s="103"/>
      <c r="B16" s="294"/>
      <c r="C16" s="104"/>
      <c r="D16" s="104"/>
      <c r="E16" s="105"/>
      <c r="F16" s="36">
        <f>C16*E16</f>
        <v>0</v>
      </c>
      <c r="G16" s="36">
        <f>IF(A16="",0,E16*(1+VLOOKUP(A16,$O$5:$P$10,2,FALSE)))</f>
        <v>0</v>
      </c>
      <c r="H16" s="36">
        <f>C16*G16</f>
        <v>0</v>
      </c>
      <c r="I16" s="36">
        <f>IF(OR($P$16=0,$P$16=""),H16*1,H16*(1+$P$16))</f>
        <v>0</v>
      </c>
      <c r="O16" s="57"/>
      <c r="P16" s="58">
        <f>'Materials 1'!P15</f>
        <v>0</v>
      </c>
    </row>
    <row r="17" spans="1:15" s="31" customFormat="1" x14ac:dyDescent="0.3">
      <c r="A17" s="103"/>
      <c r="B17" s="295"/>
      <c r="C17" s="139"/>
      <c r="D17" s="139"/>
      <c r="E17" s="105"/>
      <c r="F17" s="36">
        <f t="shared" ref="F17:F23" si="8">C17*E17</f>
        <v>0</v>
      </c>
      <c r="G17" s="36">
        <f t="shared" ref="G17:G23" si="9">IF(A17="",0,E17*(1+VLOOKUP(A17,$O$5:$P$10,2,FALSE)))</f>
        <v>0</v>
      </c>
      <c r="H17" s="36">
        <f t="shared" ref="H17:H23" si="10">C17*G17</f>
        <v>0</v>
      </c>
      <c r="I17" s="36">
        <f t="shared" ref="I17:I23" si="11">IF(OR($P$16=0,$P$16=""),H17*1,H17*(1+$P$16))</f>
        <v>0</v>
      </c>
    </row>
    <row r="18" spans="1:15" s="31" customFormat="1" x14ac:dyDescent="0.3">
      <c r="A18" s="103"/>
      <c r="B18" s="295"/>
      <c r="C18" s="139"/>
      <c r="D18" s="139"/>
      <c r="E18" s="105"/>
      <c r="F18" s="36">
        <f t="shared" si="8"/>
        <v>0</v>
      </c>
      <c r="G18" s="36">
        <f t="shared" si="9"/>
        <v>0</v>
      </c>
      <c r="H18" s="36">
        <f t="shared" si="10"/>
        <v>0</v>
      </c>
      <c r="I18" s="36">
        <f t="shared" si="11"/>
        <v>0</v>
      </c>
    </row>
    <row r="19" spans="1:15" s="31" customFormat="1" x14ac:dyDescent="0.3">
      <c r="A19" s="103"/>
      <c r="B19" s="294"/>
      <c r="C19" s="104"/>
      <c r="D19" s="104"/>
      <c r="E19" s="105"/>
      <c r="F19" s="36">
        <f t="shared" si="8"/>
        <v>0</v>
      </c>
      <c r="G19" s="36">
        <f t="shared" si="9"/>
        <v>0</v>
      </c>
      <c r="H19" s="36">
        <f t="shared" si="10"/>
        <v>0</v>
      </c>
      <c r="I19" s="36">
        <f t="shared" si="11"/>
        <v>0</v>
      </c>
    </row>
    <row r="20" spans="1:15" s="31" customFormat="1" x14ac:dyDescent="0.3">
      <c r="A20" s="103"/>
      <c r="B20" s="294"/>
      <c r="C20" s="104"/>
      <c r="D20" s="104"/>
      <c r="E20" s="105"/>
      <c r="F20" s="36">
        <f t="shared" si="8"/>
        <v>0</v>
      </c>
      <c r="G20" s="36">
        <f t="shared" si="9"/>
        <v>0</v>
      </c>
      <c r="H20" s="36">
        <f t="shared" si="10"/>
        <v>0</v>
      </c>
      <c r="I20" s="36">
        <f t="shared" si="11"/>
        <v>0</v>
      </c>
    </row>
    <row r="21" spans="1:15" s="31" customFormat="1" x14ac:dyDescent="0.3">
      <c r="A21" s="103"/>
      <c r="B21" s="295"/>
      <c r="C21" s="139"/>
      <c r="D21" s="139"/>
      <c r="E21" s="105"/>
      <c r="F21" s="36">
        <f t="shared" si="8"/>
        <v>0</v>
      </c>
      <c r="G21" s="36">
        <f t="shared" si="9"/>
        <v>0</v>
      </c>
      <c r="H21" s="36">
        <f t="shared" si="10"/>
        <v>0</v>
      </c>
      <c r="I21" s="36">
        <f t="shared" si="11"/>
        <v>0</v>
      </c>
    </row>
    <row r="22" spans="1:15" s="31" customFormat="1" x14ac:dyDescent="0.3">
      <c r="A22" s="103"/>
      <c r="B22" s="295"/>
      <c r="C22" s="139"/>
      <c r="D22" s="139"/>
      <c r="E22" s="105"/>
      <c r="F22" s="36">
        <f t="shared" si="8"/>
        <v>0</v>
      </c>
      <c r="G22" s="36">
        <f t="shared" si="9"/>
        <v>0</v>
      </c>
      <c r="H22" s="36">
        <f t="shared" si="10"/>
        <v>0</v>
      </c>
      <c r="I22" s="36">
        <f t="shared" si="11"/>
        <v>0</v>
      </c>
    </row>
    <row r="23" spans="1:15" s="31" customFormat="1" x14ac:dyDescent="0.3">
      <c r="A23" s="106"/>
      <c r="B23" s="295"/>
      <c r="C23" s="139"/>
      <c r="D23" s="139"/>
      <c r="E23" s="108"/>
      <c r="F23" s="36">
        <f t="shared" si="8"/>
        <v>0</v>
      </c>
      <c r="G23" s="36">
        <f t="shared" si="9"/>
        <v>0</v>
      </c>
      <c r="H23" s="36">
        <f t="shared" si="10"/>
        <v>0</v>
      </c>
      <c r="I23" s="36">
        <f t="shared" si="11"/>
        <v>0</v>
      </c>
      <c r="J23" s="56" t="s">
        <v>108</v>
      </c>
      <c r="K23" s="55" t="s">
        <v>109</v>
      </c>
    </row>
    <row r="24" spans="1:15" s="31" customFormat="1" x14ac:dyDescent="0.3">
      <c r="B24" s="99"/>
      <c r="D24" s="32"/>
      <c r="E24" s="36"/>
      <c r="F24" s="54">
        <f>SUM(F16:F23)</f>
        <v>0</v>
      </c>
      <c r="G24" s="54">
        <f>SUM(G16:G23)</f>
        <v>0</v>
      </c>
      <c r="H24" s="54">
        <f>SUM(H16:H23)</f>
        <v>0</v>
      </c>
      <c r="I24" s="54">
        <f>SUM(I16:I23)</f>
        <v>0</v>
      </c>
      <c r="J24" s="54">
        <f>F24</f>
        <v>0</v>
      </c>
      <c r="K24" s="34">
        <f>I24</f>
        <v>0</v>
      </c>
      <c r="L24" s="155">
        <f>IF(F24=0,0,(I24-F24)/F24)</f>
        <v>0</v>
      </c>
      <c r="M24" s="120">
        <f>SUM(I16:I23)-SUM(F16:F23)</f>
        <v>0</v>
      </c>
      <c r="N24" s="86"/>
    </row>
    <row r="25" spans="1:15" ht="15.6" x14ac:dyDescent="0.3">
      <c r="A25" s="261" t="str">
        <f>'Optional-3'!B60</f>
        <v>#3</v>
      </c>
      <c r="B25" s="293"/>
      <c r="C25" s="112"/>
      <c r="D25" s="113"/>
      <c r="E25" s="112"/>
      <c r="F25" s="112"/>
      <c r="G25" s="112"/>
      <c r="H25" s="112"/>
      <c r="I25" s="112"/>
      <c r="J25" s="112"/>
      <c r="K25" s="112"/>
      <c r="L25" s="112"/>
      <c r="M25" s="112"/>
      <c r="O25"/>
    </row>
    <row r="26" spans="1:15" s="31" customFormat="1" ht="27.6" x14ac:dyDescent="0.3">
      <c r="A26" s="47" t="s">
        <v>184</v>
      </c>
      <c r="B26" s="290" t="s">
        <v>185</v>
      </c>
      <c r="C26" s="74" t="s">
        <v>47</v>
      </c>
      <c r="D26" s="74" t="s">
        <v>186</v>
      </c>
      <c r="E26" s="75" t="s">
        <v>193</v>
      </c>
      <c r="F26" s="48" t="s">
        <v>22</v>
      </c>
      <c r="G26" s="49" t="s">
        <v>194</v>
      </c>
      <c r="H26" s="49" t="s">
        <v>23</v>
      </c>
      <c r="I26" s="50" t="s">
        <v>100</v>
      </c>
    </row>
    <row r="27" spans="1:15" s="31" customFormat="1" x14ac:dyDescent="0.3">
      <c r="A27" s="103"/>
      <c r="B27" s="294"/>
      <c r="C27" s="104"/>
      <c r="D27" s="104"/>
      <c r="E27" s="105"/>
      <c r="F27" s="36">
        <f>C27*E27</f>
        <v>0</v>
      </c>
      <c r="G27" s="36">
        <f>IF(A27="",0,E27*(1+VLOOKUP(A27,$O$5:$P$10,2,FALSE)))</f>
        <v>0</v>
      </c>
      <c r="H27" s="36">
        <f t="shared" ref="H27:H33" si="12">C27*G27</f>
        <v>0</v>
      </c>
      <c r="I27" s="36">
        <f>IF(OR($P$16=0,$P$16=""),H27*1,H27*(1+$P$16))</f>
        <v>0</v>
      </c>
    </row>
    <row r="28" spans="1:15" s="31" customFormat="1" x14ac:dyDescent="0.3">
      <c r="A28" s="103"/>
      <c r="B28" s="294"/>
      <c r="C28" s="104"/>
      <c r="D28" s="104"/>
      <c r="E28" s="105"/>
      <c r="F28" s="36">
        <f t="shared" ref="F28:F33" si="13">C28*E28</f>
        <v>0</v>
      </c>
      <c r="G28" s="36">
        <f t="shared" ref="G28:G34" si="14">IF(A28="",0,E28*(1+VLOOKUP(A28,$O$5:$P$10,2,FALSE)))</f>
        <v>0</v>
      </c>
      <c r="H28" s="36">
        <f t="shared" si="12"/>
        <v>0</v>
      </c>
      <c r="I28" s="36">
        <f t="shared" ref="I28:I34" si="15">IF(OR($P$16=0,$P$16=""),H28*1,H28*(1+$P$16))</f>
        <v>0</v>
      </c>
    </row>
    <row r="29" spans="1:15" s="31" customFormat="1" x14ac:dyDescent="0.3">
      <c r="A29" s="103"/>
      <c r="B29" s="294"/>
      <c r="C29" s="104"/>
      <c r="D29" s="104"/>
      <c r="E29" s="105"/>
      <c r="F29" s="36">
        <f t="shared" si="13"/>
        <v>0</v>
      </c>
      <c r="G29" s="36">
        <f t="shared" si="14"/>
        <v>0</v>
      </c>
      <c r="H29" s="36">
        <f t="shared" si="12"/>
        <v>0</v>
      </c>
      <c r="I29" s="36">
        <f t="shared" si="15"/>
        <v>0</v>
      </c>
    </row>
    <row r="30" spans="1:15" s="31" customFormat="1" x14ac:dyDescent="0.3">
      <c r="A30" s="103"/>
      <c r="B30" s="295"/>
      <c r="C30" s="139"/>
      <c r="D30" s="139"/>
      <c r="E30" s="105"/>
      <c r="F30" s="36">
        <f t="shared" si="13"/>
        <v>0</v>
      </c>
      <c r="G30" s="36">
        <f t="shared" si="14"/>
        <v>0</v>
      </c>
      <c r="H30" s="36">
        <f t="shared" si="12"/>
        <v>0</v>
      </c>
      <c r="I30" s="36">
        <f t="shared" si="15"/>
        <v>0</v>
      </c>
    </row>
    <row r="31" spans="1:15" s="31" customFormat="1" x14ac:dyDescent="0.3">
      <c r="A31" s="103"/>
      <c r="B31" s="295"/>
      <c r="C31" s="139"/>
      <c r="D31" s="139"/>
      <c r="E31" s="105"/>
      <c r="F31" s="36">
        <f t="shared" si="13"/>
        <v>0</v>
      </c>
      <c r="G31" s="36">
        <f t="shared" si="14"/>
        <v>0</v>
      </c>
      <c r="H31" s="36">
        <f t="shared" si="12"/>
        <v>0</v>
      </c>
      <c r="I31" s="36">
        <f t="shared" si="15"/>
        <v>0</v>
      </c>
    </row>
    <row r="32" spans="1:15" s="31" customFormat="1" x14ac:dyDescent="0.3">
      <c r="A32" s="103"/>
      <c r="B32" s="295"/>
      <c r="C32" s="139"/>
      <c r="D32" s="139"/>
      <c r="E32" s="105"/>
      <c r="F32" s="36">
        <f t="shared" si="13"/>
        <v>0</v>
      </c>
      <c r="G32" s="36">
        <f t="shared" si="14"/>
        <v>0</v>
      </c>
      <c r="H32" s="36">
        <f t="shared" si="12"/>
        <v>0</v>
      </c>
      <c r="I32" s="36">
        <f t="shared" si="15"/>
        <v>0</v>
      </c>
    </row>
    <row r="33" spans="1:15" s="31" customFormat="1" x14ac:dyDescent="0.3">
      <c r="A33" s="103"/>
      <c r="B33" s="295"/>
      <c r="C33" s="139"/>
      <c r="D33" s="139"/>
      <c r="E33" s="105"/>
      <c r="F33" s="36">
        <f t="shared" si="13"/>
        <v>0</v>
      </c>
      <c r="G33" s="36">
        <f t="shared" si="14"/>
        <v>0</v>
      </c>
      <c r="H33" s="36">
        <f t="shared" si="12"/>
        <v>0</v>
      </c>
      <c r="I33" s="36">
        <f t="shared" si="15"/>
        <v>0</v>
      </c>
    </row>
    <row r="34" spans="1:15" s="31" customFormat="1" x14ac:dyDescent="0.3">
      <c r="A34" s="106"/>
      <c r="B34" s="296"/>
      <c r="C34" s="107"/>
      <c r="D34" s="107"/>
      <c r="E34" s="108"/>
      <c r="F34" s="36">
        <f>C34*E34</f>
        <v>0</v>
      </c>
      <c r="G34" s="36">
        <f t="shared" si="14"/>
        <v>0</v>
      </c>
      <c r="H34" s="36">
        <f>C34*G34</f>
        <v>0</v>
      </c>
      <c r="I34" s="36">
        <f t="shared" si="15"/>
        <v>0</v>
      </c>
      <c r="J34" s="56" t="s">
        <v>108</v>
      </c>
      <c r="K34" s="55" t="s">
        <v>109</v>
      </c>
    </row>
    <row r="35" spans="1:15" s="31" customFormat="1" x14ac:dyDescent="0.3">
      <c r="B35" s="99"/>
      <c r="D35" s="32"/>
      <c r="E35" s="36"/>
      <c r="F35" s="54">
        <f>SUM(F27:F34)</f>
        <v>0</v>
      </c>
      <c r="G35" s="54">
        <f>SUM(G27:G34)</f>
        <v>0</v>
      </c>
      <c r="H35" s="54">
        <f>SUM(H27:H34)</f>
        <v>0</v>
      </c>
      <c r="I35" s="54">
        <f>SUM(I27:I34)</f>
        <v>0</v>
      </c>
      <c r="J35" s="54">
        <f>F35</f>
        <v>0</v>
      </c>
      <c r="K35" s="34">
        <f>I35</f>
        <v>0</v>
      </c>
      <c r="L35" s="155">
        <f>IF(F35=0,0,(I35-F35)/F35)</f>
        <v>0</v>
      </c>
      <c r="M35" s="120">
        <f>SUM(I27:I34)-SUM(F27:F34)</f>
        <v>0</v>
      </c>
      <c r="N35" s="86"/>
    </row>
    <row r="36" spans="1:15" ht="15.6" x14ac:dyDescent="0.3">
      <c r="A36" s="261" t="str">
        <f>'Optional-3'!B88</f>
        <v>#4</v>
      </c>
      <c r="B36" s="293"/>
      <c r="C36" s="112"/>
      <c r="D36" s="113"/>
      <c r="E36" s="112"/>
      <c r="F36" s="112"/>
      <c r="G36" s="112"/>
      <c r="H36" s="112"/>
      <c r="I36" s="112"/>
      <c r="J36" s="112"/>
      <c r="K36" s="112"/>
      <c r="L36" s="112"/>
      <c r="M36" s="112"/>
      <c r="O36"/>
    </row>
    <row r="37" spans="1:15" s="31" customFormat="1" ht="27.6" x14ac:dyDescent="0.3">
      <c r="A37" s="47" t="s">
        <v>184</v>
      </c>
      <c r="B37" s="290" t="s">
        <v>185</v>
      </c>
      <c r="C37" s="74" t="s">
        <v>47</v>
      </c>
      <c r="D37" s="74" t="s">
        <v>186</v>
      </c>
      <c r="E37" s="75" t="s">
        <v>193</v>
      </c>
      <c r="F37" s="48" t="s">
        <v>22</v>
      </c>
      <c r="G37" s="49" t="s">
        <v>194</v>
      </c>
      <c r="H37" s="49" t="s">
        <v>23</v>
      </c>
      <c r="I37" s="50" t="s">
        <v>100</v>
      </c>
    </row>
    <row r="38" spans="1:15" s="31" customFormat="1" x14ac:dyDescent="0.3">
      <c r="A38" s="103"/>
      <c r="B38" s="294"/>
      <c r="C38" s="104"/>
      <c r="D38" s="104"/>
      <c r="E38" s="105"/>
      <c r="F38" s="36">
        <f>C38*E38</f>
        <v>0</v>
      </c>
      <c r="G38" s="36">
        <f>IF(A38="",0,E38*(1+VLOOKUP(A38,$O$5:$P$10,2,FALSE)))</f>
        <v>0</v>
      </c>
      <c r="H38" s="36">
        <f>C38*G38</f>
        <v>0</v>
      </c>
      <c r="I38" s="36">
        <f>IF(OR($P$16=0,$P$16=""),H38*1,H38*(1+$P$16))</f>
        <v>0</v>
      </c>
    </row>
    <row r="39" spans="1:15" s="31" customFormat="1" x14ac:dyDescent="0.3">
      <c r="A39" s="103"/>
      <c r="B39" s="295"/>
      <c r="C39" s="139"/>
      <c r="D39" s="139"/>
      <c r="E39" s="105"/>
      <c r="F39" s="36">
        <f t="shared" ref="F39:F45" si="16">C39*E39</f>
        <v>0</v>
      </c>
      <c r="G39" s="36">
        <f t="shared" ref="G39:G45" si="17">IF(A39="",0,E39*(1+VLOOKUP(A39,$O$5:$P$10,2,FALSE)))</f>
        <v>0</v>
      </c>
      <c r="H39" s="36">
        <f t="shared" ref="H39:H45" si="18">C39*G39</f>
        <v>0</v>
      </c>
      <c r="I39" s="36">
        <f t="shared" ref="I39:I45" si="19">IF(OR($P$16=0,$P$16=""),H39*1,H39*(1+$P$16))</f>
        <v>0</v>
      </c>
    </row>
    <row r="40" spans="1:15" s="31" customFormat="1" x14ac:dyDescent="0.3">
      <c r="A40" s="103"/>
      <c r="B40" s="294"/>
      <c r="C40" s="104"/>
      <c r="D40" s="104"/>
      <c r="E40" s="105"/>
      <c r="F40" s="36">
        <f t="shared" si="16"/>
        <v>0</v>
      </c>
      <c r="G40" s="36">
        <f t="shared" si="17"/>
        <v>0</v>
      </c>
      <c r="H40" s="36">
        <f t="shared" si="18"/>
        <v>0</v>
      </c>
      <c r="I40" s="36">
        <f t="shared" si="19"/>
        <v>0</v>
      </c>
    </row>
    <row r="41" spans="1:15" s="31" customFormat="1" x14ac:dyDescent="0.3">
      <c r="A41" s="103"/>
      <c r="B41" s="294"/>
      <c r="C41" s="104"/>
      <c r="D41" s="104"/>
      <c r="E41" s="105"/>
      <c r="F41" s="36">
        <f t="shared" si="16"/>
        <v>0</v>
      </c>
      <c r="G41" s="36">
        <f t="shared" si="17"/>
        <v>0</v>
      </c>
      <c r="H41" s="36">
        <f t="shared" si="18"/>
        <v>0</v>
      </c>
      <c r="I41" s="36">
        <f t="shared" si="19"/>
        <v>0</v>
      </c>
    </row>
    <row r="42" spans="1:15" s="31" customFormat="1" x14ac:dyDescent="0.3">
      <c r="A42" s="103"/>
      <c r="B42" s="295"/>
      <c r="C42" s="139"/>
      <c r="D42" s="139"/>
      <c r="E42" s="105"/>
      <c r="F42" s="36">
        <f t="shared" si="16"/>
        <v>0</v>
      </c>
      <c r="G42" s="36">
        <f t="shared" si="17"/>
        <v>0</v>
      </c>
      <c r="H42" s="36">
        <f t="shared" si="18"/>
        <v>0</v>
      </c>
      <c r="I42" s="36">
        <f t="shared" si="19"/>
        <v>0</v>
      </c>
    </row>
    <row r="43" spans="1:15" s="31" customFormat="1" x14ac:dyDescent="0.3">
      <c r="A43" s="103"/>
      <c r="B43" s="295"/>
      <c r="C43" s="139"/>
      <c r="D43" s="139"/>
      <c r="E43" s="105"/>
      <c r="F43" s="36">
        <f t="shared" si="16"/>
        <v>0</v>
      </c>
      <c r="G43" s="36">
        <f t="shared" si="17"/>
        <v>0</v>
      </c>
      <c r="H43" s="36">
        <f t="shared" si="18"/>
        <v>0</v>
      </c>
      <c r="I43" s="36">
        <f t="shared" si="19"/>
        <v>0</v>
      </c>
    </row>
    <row r="44" spans="1:15" s="31" customFormat="1" x14ac:dyDescent="0.3">
      <c r="A44" s="103"/>
      <c r="B44" s="295"/>
      <c r="C44" s="139"/>
      <c r="D44" s="139"/>
      <c r="E44" s="105"/>
      <c r="F44" s="36">
        <f t="shared" si="16"/>
        <v>0</v>
      </c>
      <c r="G44" s="36">
        <f t="shared" si="17"/>
        <v>0</v>
      </c>
      <c r="H44" s="36">
        <f t="shared" si="18"/>
        <v>0</v>
      </c>
      <c r="I44" s="36">
        <f t="shared" si="19"/>
        <v>0</v>
      </c>
    </row>
    <row r="45" spans="1:15" s="31" customFormat="1" x14ac:dyDescent="0.3">
      <c r="A45" s="106"/>
      <c r="B45" s="295"/>
      <c r="C45" s="139"/>
      <c r="D45" s="139"/>
      <c r="E45" s="108"/>
      <c r="F45" s="36">
        <f t="shared" si="16"/>
        <v>0</v>
      </c>
      <c r="G45" s="36">
        <f t="shared" si="17"/>
        <v>0</v>
      </c>
      <c r="H45" s="36">
        <f t="shared" si="18"/>
        <v>0</v>
      </c>
      <c r="I45" s="36">
        <f t="shared" si="19"/>
        <v>0</v>
      </c>
      <c r="J45" s="56" t="s">
        <v>108</v>
      </c>
      <c r="K45" s="55" t="s">
        <v>109</v>
      </c>
    </row>
    <row r="46" spans="1:15" s="31" customFormat="1" x14ac:dyDescent="0.3">
      <c r="B46" s="292"/>
      <c r="C46"/>
      <c r="D46"/>
      <c r="E46" s="36"/>
      <c r="F46" s="54">
        <f>SUM(F38:F45)</f>
        <v>0</v>
      </c>
      <c r="G46" s="54">
        <f>SUM(G38:G45)</f>
        <v>0</v>
      </c>
      <c r="H46" s="54">
        <f>SUM(H38:H45)</f>
        <v>0</v>
      </c>
      <c r="I46" s="54">
        <f>SUM(I38:I45)</f>
        <v>0</v>
      </c>
      <c r="J46" s="54">
        <f>F46</f>
        <v>0</v>
      </c>
      <c r="K46" s="34">
        <f>I46</f>
        <v>0</v>
      </c>
      <c r="L46" s="155">
        <f>IF(F46=0,0,(I46-F46)/F46)</f>
        <v>0</v>
      </c>
      <c r="M46" s="120">
        <f>SUM(I38:I45)-SUM(F38:F45)</f>
        <v>0</v>
      </c>
      <c r="N46" s="86"/>
    </row>
    <row r="47" spans="1:15" ht="15.6" x14ac:dyDescent="0.3">
      <c r="A47" s="261" t="str">
        <f>'Optional-3'!B116</f>
        <v>#5</v>
      </c>
      <c r="B47" s="293"/>
      <c r="C47" s="112"/>
      <c r="D47" s="113"/>
      <c r="E47" s="112"/>
      <c r="F47" s="112"/>
      <c r="G47" s="112"/>
      <c r="H47" s="112"/>
      <c r="I47" s="112"/>
      <c r="J47" s="112"/>
      <c r="K47" s="112"/>
      <c r="L47" s="112"/>
      <c r="M47" s="112"/>
      <c r="O47"/>
    </row>
    <row r="48" spans="1:15" s="31" customFormat="1" ht="27.6" x14ac:dyDescent="0.3">
      <c r="A48" s="47" t="s">
        <v>184</v>
      </c>
      <c r="B48" s="290" t="s">
        <v>185</v>
      </c>
      <c r="C48" s="74" t="s">
        <v>47</v>
      </c>
      <c r="D48" s="74" t="s">
        <v>186</v>
      </c>
      <c r="E48" s="75" t="s">
        <v>193</v>
      </c>
      <c r="F48" s="48" t="s">
        <v>22</v>
      </c>
      <c r="G48" s="49" t="s">
        <v>194</v>
      </c>
      <c r="H48" s="49" t="s">
        <v>23</v>
      </c>
      <c r="I48" s="50" t="s">
        <v>100</v>
      </c>
      <c r="L48" s="48" t="s">
        <v>101</v>
      </c>
      <c r="M48" s="48" t="s">
        <v>0</v>
      </c>
    </row>
    <row r="49" spans="1:15" s="31" customFormat="1" x14ac:dyDescent="0.3">
      <c r="A49" s="103"/>
      <c r="B49" s="294"/>
      <c r="C49" s="104"/>
      <c r="D49" s="104"/>
      <c r="E49" s="105"/>
      <c r="F49" s="36">
        <f>C49*E49</f>
        <v>0</v>
      </c>
      <c r="G49" s="36">
        <f>IF(A49="",0,E49*(1+VLOOKUP(A49,$O$5:$P$10,2,FALSE)))</f>
        <v>0</v>
      </c>
      <c r="H49" s="36">
        <f>C49*G49</f>
        <v>0</v>
      </c>
      <c r="I49" s="36">
        <f>IF(OR($P$16=0,$P$16=""),H49*1,H49*(1+$P$16))</f>
        <v>0</v>
      </c>
    </row>
    <row r="50" spans="1:15" s="31" customFormat="1" x14ac:dyDescent="0.3">
      <c r="A50" s="103"/>
      <c r="B50" s="295"/>
      <c r="C50" s="139"/>
      <c r="D50" s="139"/>
      <c r="E50" s="105"/>
      <c r="F50" s="36">
        <f t="shared" ref="F50:F56" si="20">C50*E50</f>
        <v>0</v>
      </c>
      <c r="G50" s="36">
        <f t="shared" ref="G50:G56" si="21">IF(A50="",0,E50*(1+VLOOKUP(A50,$O$5:$P$10,2,FALSE)))</f>
        <v>0</v>
      </c>
      <c r="H50" s="36">
        <f t="shared" ref="H50:H56" si="22">C50*G50</f>
        <v>0</v>
      </c>
      <c r="I50" s="36">
        <f t="shared" ref="I50:I56" si="23">IF(OR($P$16=0,$P$16=""),H50*1,H50*(1+$P$16))</f>
        <v>0</v>
      </c>
    </row>
    <row r="51" spans="1:15" s="31" customFormat="1" x14ac:dyDescent="0.3">
      <c r="A51" s="103"/>
      <c r="B51" s="294"/>
      <c r="C51" s="104"/>
      <c r="D51" s="104"/>
      <c r="E51" s="105"/>
      <c r="F51" s="36">
        <f t="shared" si="20"/>
        <v>0</v>
      </c>
      <c r="G51" s="36">
        <f t="shared" si="21"/>
        <v>0</v>
      </c>
      <c r="H51" s="36">
        <f t="shared" si="22"/>
        <v>0</v>
      </c>
      <c r="I51" s="36">
        <f t="shared" si="23"/>
        <v>0</v>
      </c>
    </row>
    <row r="52" spans="1:15" s="31" customFormat="1" x14ac:dyDescent="0.3">
      <c r="A52" s="103"/>
      <c r="B52" s="294"/>
      <c r="C52" s="104"/>
      <c r="D52" s="104"/>
      <c r="E52" s="105"/>
      <c r="F52" s="36">
        <f t="shared" si="20"/>
        <v>0</v>
      </c>
      <c r="G52" s="36">
        <f t="shared" si="21"/>
        <v>0</v>
      </c>
      <c r="H52" s="36">
        <f t="shared" si="22"/>
        <v>0</v>
      </c>
      <c r="I52" s="36">
        <f t="shared" si="23"/>
        <v>0</v>
      </c>
    </row>
    <row r="53" spans="1:15" s="31" customFormat="1" x14ac:dyDescent="0.3">
      <c r="A53" s="103"/>
      <c r="B53" s="295"/>
      <c r="C53" s="139"/>
      <c r="D53" s="139"/>
      <c r="E53" s="105"/>
      <c r="F53" s="36">
        <f t="shared" si="20"/>
        <v>0</v>
      </c>
      <c r="G53" s="36">
        <f t="shared" si="21"/>
        <v>0</v>
      </c>
      <c r="H53" s="36">
        <f t="shared" si="22"/>
        <v>0</v>
      </c>
      <c r="I53" s="36">
        <f t="shared" si="23"/>
        <v>0</v>
      </c>
    </row>
    <row r="54" spans="1:15" s="31" customFormat="1" x14ac:dyDescent="0.3">
      <c r="A54" s="103"/>
      <c r="B54" s="295"/>
      <c r="C54" s="139"/>
      <c r="D54" s="139"/>
      <c r="E54" s="105"/>
      <c r="F54" s="36">
        <f t="shared" si="20"/>
        <v>0</v>
      </c>
      <c r="G54" s="36">
        <f t="shared" si="21"/>
        <v>0</v>
      </c>
      <c r="H54" s="36">
        <f t="shared" si="22"/>
        <v>0</v>
      </c>
      <c r="I54" s="36">
        <f t="shared" si="23"/>
        <v>0</v>
      </c>
    </row>
    <row r="55" spans="1:15" s="31" customFormat="1" x14ac:dyDescent="0.3">
      <c r="A55" s="103"/>
      <c r="B55" s="295"/>
      <c r="C55" s="139"/>
      <c r="D55" s="139"/>
      <c r="E55" s="105"/>
      <c r="F55" s="36">
        <f t="shared" si="20"/>
        <v>0</v>
      </c>
      <c r="G55" s="36">
        <f t="shared" si="21"/>
        <v>0</v>
      </c>
      <c r="H55" s="36">
        <f t="shared" si="22"/>
        <v>0</v>
      </c>
      <c r="I55" s="36">
        <f t="shared" si="23"/>
        <v>0</v>
      </c>
    </row>
    <row r="56" spans="1:15" s="31" customFormat="1" x14ac:dyDescent="0.3">
      <c r="A56" s="106"/>
      <c r="B56" s="295"/>
      <c r="C56" s="139"/>
      <c r="D56" s="139"/>
      <c r="E56" s="108"/>
      <c r="F56" s="36">
        <f t="shared" si="20"/>
        <v>0</v>
      </c>
      <c r="G56" s="36">
        <f t="shared" si="21"/>
        <v>0</v>
      </c>
      <c r="H56" s="36">
        <f t="shared" si="22"/>
        <v>0</v>
      </c>
      <c r="I56" s="36">
        <f t="shared" si="23"/>
        <v>0</v>
      </c>
      <c r="J56" s="56" t="s">
        <v>108</v>
      </c>
      <c r="K56" s="55" t="s">
        <v>109</v>
      </c>
    </row>
    <row r="57" spans="1:15" s="31" customFormat="1" x14ac:dyDescent="0.3">
      <c r="B57" s="292"/>
      <c r="C57"/>
      <c r="D57"/>
      <c r="E57" s="36"/>
      <c r="F57" s="54">
        <f>SUM(F49:F56)</f>
        <v>0</v>
      </c>
      <c r="G57" s="54">
        <f>SUM(G49:G56)</f>
        <v>0</v>
      </c>
      <c r="H57" s="54">
        <f>SUM(H49:H56)</f>
        <v>0</v>
      </c>
      <c r="I57" s="54">
        <f>SUM(I49:I56)</f>
        <v>0</v>
      </c>
      <c r="J57" s="54">
        <f>F57</f>
        <v>0</v>
      </c>
      <c r="K57" s="34">
        <f>I57</f>
        <v>0</v>
      </c>
      <c r="L57" s="155">
        <f>IF(F57=0,0,(I57-F57)/F57)</f>
        <v>0</v>
      </c>
      <c r="M57" s="120">
        <f>SUM(I49:I56)-SUM(F49:F56)</f>
        <v>0</v>
      </c>
      <c r="N57" s="86"/>
    </row>
    <row r="58" spans="1:15" ht="15.6" x14ac:dyDescent="0.3">
      <c r="A58" s="261" t="str">
        <f>'Optional-3'!B144</f>
        <v>#6</v>
      </c>
      <c r="B58" s="293"/>
      <c r="C58" s="112"/>
      <c r="D58" s="113"/>
      <c r="E58" s="112"/>
      <c r="F58" s="112"/>
      <c r="G58" s="112"/>
      <c r="H58" s="112"/>
      <c r="I58" s="112"/>
      <c r="J58" s="112"/>
      <c r="K58" s="112"/>
      <c r="L58" s="112"/>
      <c r="M58" s="112"/>
      <c r="O58"/>
    </row>
    <row r="59" spans="1:15" s="31" customFormat="1" ht="27.6" x14ac:dyDescent="0.3">
      <c r="A59" s="47" t="s">
        <v>184</v>
      </c>
      <c r="B59" s="290" t="s">
        <v>185</v>
      </c>
      <c r="C59" s="74" t="s">
        <v>47</v>
      </c>
      <c r="D59" s="74" t="s">
        <v>186</v>
      </c>
      <c r="E59" s="75" t="s">
        <v>193</v>
      </c>
      <c r="F59" s="48" t="s">
        <v>22</v>
      </c>
      <c r="G59" s="49" t="s">
        <v>194</v>
      </c>
      <c r="H59" s="49" t="s">
        <v>23</v>
      </c>
      <c r="I59" s="50" t="s">
        <v>100</v>
      </c>
    </row>
    <row r="60" spans="1:15" s="31" customFormat="1" x14ac:dyDescent="0.3">
      <c r="A60" s="103"/>
      <c r="B60" s="294"/>
      <c r="C60" s="104"/>
      <c r="D60" s="104"/>
      <c r="E60" s="105"/>
      <c r="F60" s="36">
        <f>C60*E60</f>
        <v>0</v>
      </c>
      <c r="G60" s="36">
        <f>IF(A60="",0,E60*(1+VLOOKUP(A60,$O$5:$P$10,2,FALSE)))</f>
        <v>0</v>
      </c>
      <c r="H60" s="36">
        <f>C60*G60</f>
        <v>0</v>
      </c>
      <c r="I60" s="36">
        <f>IF(OR($P$16=0,$P$16=""),H60*1,H60*(1+$P$16))</f>
        <v>0</v>
      </c>
    </row>
    <row r="61" spans="1:15" s="31" customFormat="1" x14ac:dyDescent="0.3">
      <c r="A61" s="103"/>
      <c r="B61" s="294"/>
      <c r="C61" s="104"/>
      <c r="D61" s="104"/>
      <c r="E61" s="105"/>
      <c r="F61" s="36">
        <f t="shared" ref="F61:F67" si="24">C61*E61</f>
        <v>0</v>
      </c>
      <c r="G61" s="36">
        <f t="shared" ref="G61:G67" si="25">IF(A61="",0,E61*(1+VLOOKUP(A61,$O$5:$P$10,2,FALSE)))</f>
        <v>0</v>
      </c>
      <c r="H61" s="36">
        <f t="shared" ref="H61:H67" si="26">C61*G61</f>
        <v>0</v>
      </c>
      <c r="I61" s="36">
        <f t="shared" ref="I61:I67" si="27">IF(OR($P$16=0,$P$16=""),H61*1,H61*(1+$P$16))</f>
        <v>0</v>
      </c>
    </row>
    <row r="62" spans="1:15" s="31" customFormat="1" x14ac:dyDescent="0.3">
      <c r="A62" s="103"/>
      <c r="B62" s="294"/>
      <c r="C62" s="104"/>
      <c r="D62" s="104"/>
      <c r="E62" s="105"/>
      <c r="F62" s="36">
        <f t="shared" si="24"/>
        <v>0</v>
      </c>
      <c r="G62" s="36">
        <f t="shared" si="25"/>
        <v>0</v>
      </c>
      <c r="H62" s="36">
        <f t="shared" si="26"/>
        <v>0</v>
      </c>
      <c r="I62" s="36">
        <f t="shared" si="27"/>
        <v>0</v>
      </c>
    </row>
    <row r="63" spans="1:15" s="31" customFormat="1" x14ac:dyDescent="0.3">
      <c r="A63" s="103"/>
      <c r="B63" s="295"/>
      <c r="C63" s="139"/>
      <c r="D63" s="139"/>
      <c r="E63" s="105"/>
      <c r="F63" s="36">
        <f t="shared" si="24"/>
        <v>0</v>
      </c>
      <c r="G63" s="36">
        <f t="shared" si="25"/>
        <v>0</v>
      </c>
      <c r="H63" s="36">
        <f t="shared" si="26"/>
        <v>0</v>
      </c>
      <c r="I63" s="36">
        <f t="shared" si="27"/>
        <v>0</v>
      </c>
    </row>
    <row r="64" spans="1:15" s="31" customFormat="1" x14ac:dyDescent="0.3">
      <c r="A64" s="103"/>
      <c r="B64" s="295"/>
      <c r="C64" s="139"/>
      <c r="D64" s="139"/>
      <c r="E64" s="105"/>
      <c r="F64" s="36">
        <f t="shared" si="24"/>
        <v>0</v>
      </c>
      <c r="G64" s="36">
        <f t="shared" si="25"/>
        <v>0</v>
      </c>
      <c r="H64" s="36">
        <f t="shared" si="26"/>
        <v>0</v>
      </c>
      <c r="I64" s="36">
        <f t="shared" si="27"/>
        <v>0</v>
      </c>
    </row>
    <row r="65" spans="1:15" s="31" customFormat="1" x14ac:dyDescent="0.3">
      <c r="A65" s="103"/>
      <c r="B65" s="295"/>
      <c r="C65" s="139"/>
      <c r="D65" s="139"/>
      <c r="E65" s="105"/>
      <c r="F65" s="36">
        <f t="shared" si="24"/>
        <v>0</v>
      </c>
      <c r="G65" s="36">
        <f t="shared" si="25"/>
        <v>0</v>
      </c>
      <c r="H65" s="36">
        <f t="shared" si="26"/>
        <v>0</v>
      </c>
      <c r="I65" s="36">
        <f t="shared" si="27"/>
        <v>0</v>
      </c>
    </row>
    <row r="66" spans="1:15" s="31" customFormat="1" x14ac:dyDescent="0.3">
      <c r="A66" s="103"/>
      <c r="B66" s="295"/>
      <c r="C66" s="139"/>
      <c r="D66" s="139"/>
      <c r="E66" s="105"/>
      <c r="F66" s="36">
        <f t="shared" si="24"/>
        <v>0</v>
      </c>
      <c r="G66" s="36">
        <f t="shared" si="25"/>
        <v>0</v>
      </c>
      <c r="H66" s="36">
        <f t="shared" si="26"/>
        <v>0</v>
      </c>
      <c r="I66" s="36">
        <f t="shared" si="27"/>
        <v>0</v>
      </c>
    </row>
    <row r="67" spans="1:15" s="31" customFormat="1" x14ac:dyDescent="0.3">
      <c r="A67" s="106"/>
      <c r="B67" s="296"/>
      <c r="C67" s="107"/>
      <c r="D67" s="107"/>
      <c r="E67" s="108"/>
      <c r="F67" s="36">
        <f t="shared" si="24"/>
        <v>0</v>
      </c>
      <c r="G67" s="36">
        <f t="shared" si="25"/>
        <v>0</v>
      </c>
      <c r="H67" s="36">
        <f t="shared" si="26"/>
        <v>0</v>
      </c>
      <c r="I67" s="36">
        <f t="shared" si="27"/>
        <v>0</v>
      </c>
      <c r="J67" s="56" t="s">
        <v>108</v>
      </c>
      <c r="K67" s="55" t="s">
        <v>109</v>
      </c>
    </row>
    <row r="68" spans="1:15" s="31" customFormat="1" x14ac:dyDescent="0.3">
      <c r="B68" s="99"/>
      <c r="D68" s="32"/>
      <c r="E68" s="36"/>
      <c r="F68" s="54">
        <f>SUM(F60:F67)</f>
        <v>0</v>
      </c>
      <c r="G68" s="54">
        <f>SUM(G60:G67)</f>
        <v>0</v>
      </c>
      <c r="H68" s="54">
        <f>SUM(H60:H67)</f>
        <v>0</v>
      </c>
      <c r="I68" s="54">
        <f>SUM(I60:I67)</f>
        <v>0</v>
      </c>
      <c r="J68" s="54">
        <f>F68</f>
        <v>0</v>
      </c>
      <c r="K68" s="34">
        <f>I68</f>
        <v>0</v>
      </c>
      <c r="L68" s="155">
        <f>IF(F68=0,0,(I68-F68)/F68)</f>
        <v>0</v>
      </c>
      <c r="M68" s="120">
        <f>SUM(I60:I67)-SUM(F60:F67)</f>
        <v>0</v>
      </c>
      <c r="N68" s="86"/>
    </row>
    <row r="69" spans="1:15" ht="15.6" x14ac:dyDescent="0.3">
      <c r="A69" s="261" t="str">
        <f>'Optional-3'!B172</f>
        <v>#7</v>
      </c>
      <c r="B69" s="293"/>
      <c r="C69" s="112"/>
      <c r="D69" s="113"/>
      <c r="E69" s="112"/>
      <c r="F69" s="112"/>
      <c r="G69" s="112"/>
      <c r="H69" s="112"/>
      <c r="I69" s="112"/>
      <c r="J69" s="112"/>
      <c r="K69" s="112"/>
      <c r="L69" s="112"/>
      <c r="M69" s="112"/>
      <c r="O69"/>
    </row>
    <row r="70" spans="1:15" s="31" customFormat="1" ht="27.6" x14ac:dyDescent="0.3">
      <c r="A70" s="47" t="s">
        <v>184</v>
      </c>
      <c r="B70" s="290" t="s">
        <v>185</v>
      </c>
      <c r="C70" s="74" t="s">
        <v>47</v>
      </c>
      <c r="D70" s="74" t="s">
        <v>186</v>
      </c>
      <c r="E70" s="75" t="s">
        <v>193</v>
      </c>
      <c r="F70" s="48" t="s">
        <v>22</v>
      </c>
      <c r="G70" s="49" t="s">
        <v>194</v>
      </c>
      <c r="H70" s="49" t="s">
        <v>23</v>
      </c>
      <c r="I70" s="50" t="s">
        <v>100</v>
      </c>
    </row>
    <row r="71" spans="1:15" s="31" customFormat="1" x14ac:dyDescent="0.3">
      <c r="A71" s="103"/>
      <c r="B71" s="294"/>
      <c r="C71" s="104"/>
      <c r="D71" s="104"/>
      <c r="E71" s="105"/>
      <c r="F71" s="36">
        <f>C71*E71</f>
        <v>0</v>
      </c>
      <c r="G71" s="36">
        <f>IF(A71="",0,E71*(1+VLOOKUP(A71,$O$5:$P$10,2,FALSE)))</f>
        <v>0</v>
      </c>
      <c r="H71" s="36">
        <f>C71*G71</f>
        <v>0</v>
      </c>
      <c r="I71" s="36">
        <f>IF(OR($P$16=0,$P$16=""),H71*1,H71*(1+$P$16))</f>
        <v>0</v>
      </c>
    </row>
    <row r="72" spans="1:15" s="31" customFormat="1" x14ac:dyDescent="0.3">
      <c r="A72" s="103"/>
      <c r="B72" s="294"/>
      <c r="C72" s="104"/>
      <c r="D72" s="104"/>
      <c r="E72" s="105"/>
      <c r="F72" s="36">
        <f t="shared" ref="F72:F78" si="28">C72*E72</f>
        <v>0</v>
      </c>
      <c r="G72" s="36">
        <f t="shared" ref="G72:G78" si="29">IF(A72="",0,E72*(1+VLOOKUP(A72,$O$5:$P$10,2,FALSE)))</f>
        <v>0</v>
      </c>
      <c r="H72" s="36">
        <f t="shared" ref="H72:H78" si="30">C72*G72</f>
        <v>0</v>
      </c>
      <c r="I72" s="36">
        <f t="shared" ref="I72:I78" si="31">IF(OR($P$16=0,$P$16=""),H72*1,H72*(1+$P$16))</f>
        <v>0</v>
      </c>
    </row>
    <row r="73" spans="1:15" s="31" customFormat="1" x14ac:dyDescent="0.3">
      <c r="A73" s="103"/>
      <c r="B73" s="294"/>
      <c r="C73" s="104"/>
      <c r="D73" s="104"/>
      <c r="E73" s="105"/>
      <c r="F73" s="36">
        <f t="shared" si="28"/>
        <v>0</v>
      </c>
      <c r="G73" s="36">
        <f t="shared" si="29"/>
        <v>0</v>
      </c>
      <c r="H73" s="36">
        <f t="shared" si="30"/>
        <v>0</v>
      </c>
      <c r="I73" s="36">
        <f t="shared" si="31"/>
        <v>0</v>
      </c>
    </row>
    <row r="74" spans="1:15" s="31" customFormat="1" x14ac:dyDescent="0.3">
      <c r="A74" s="103"/>
      <c r="B74" s="295"/>
      <c r="C74" s="139"/>
      <c r="D74" s="139"/>
      <c r="E74" s="105"/>
      <c r="F74" s="36">
        <f t="shared" si="28"/>
        <v>0</v>
      </c>
      <c r="G74" s="36">
        <f t="shared" si="29"/>
        <v>0</v>
      </c>
      <c r="H74" s="36">
        <f t="shared" si="30"/>
        <v>0</v>
      </c>
      <c r="I74" s="36">
        <f t="shared" si="31"/>
        <v>0</v>
      </c>
    </row>
    <row r="75" spans="1:15" s="31" customFormat="1" x14ac:dyDescent="0.3">
      <c r="A75" s="103"/>
      <c r="B75" s="295"/>
      <c r="C75" s="139"/>
      <c r="D75" s="139"/>
      <c r="E75" s="105"/>
      <c r="F75" s="36">
        <f t="shared" si="28"/>
        <v>0</v>
      </c>
      <c r="G75" s="36">
        <f t="shared" si="29"/>
        <v>0</v>
      </c>
      <c r="H75" s="36">
        <f t="shared" si="30"/>
        <v>0</v>
      </c>
      <c r="I75" s="36">
        <f t="shared" si="31"/>
        <v>0</v>
      </c>
    </row>
    <row r="76" spans="1:15" s="31" customFormat="1" x14ac:dyDescent="0.3">
      <c r="A76" s="103"/>
      <c r="B76" s="295"/>
      <c r="C76" s="139"/>
      <c r="D76" s="139"/>
      <c r="E76" s="105"/>
      <c r="F76" s="36">
        <f t="shared" si="28"/>
        <v>0</v>
      </c>
      <c r="G76" s="36">
        <f t="shared" si="29"/>
        <v>0</v>
      </c>
      <c r="H76" s="36">
        <f t="shared" si="30"/>
        <v>0</v>
      </c>
      <c r="I76" s="36">
        <f t="shared" si="31"/>
        <v>0</v>
      </c>
    </row>
    <row r="77" spans="1:15" s="31" customFormat="1" x14ac:dyDescent="0.3">
      <c r="A77" s="103"/>
      <c r="B77" s="295"/>
      <c r="C77" s="139"/>
      <c r="D77" s="139"/>
      <c r="E77" s="105"/>
      <c r="F77" s="36">
        <f t="shared" si="28"/>
        <v>0</v>
      </c>
      <c r="G77" s="36">
        <f t="shared" si="29"/>
        <v>0</v>
      </c>
      <c r="H77" s="36">
        <f t="shared" si="30"/>
        <v>0</v>
      </c>
      <c r="I77" s="36">
        <f t="shared" si="31"/>
        <v>0</v>
      </c>
    </row>
    <row r="78" spans="1:15" s="31" customFormat="1" x14ac:dyDescent="0.3">
      <c r="A78" s="106"/>
      <c r="B78" s="296"/>
      <c r="C78" s="107"/>
      <c r="D78" s="107"/>
      <c r="E78" s="108"/>
      <c r="F78" s="36">
        <f t="shared" si="28"/>
        <v>0</v>
      </c>
      <c r="G78" s="36">
        <f t="shared" si="29"/>
        <v>0</v>
      </c>
      <c r="H78" s="36">
        <f t="shared" si="30"/>
        <v>0</v>
      </c>
      <c r="I78" s="36">
        <f t="shared" si="31"/>
        <v>0</v>
      </c>
      <c r="J78" s="56" t="s">
        <v>108</v>
      </c>
      <c r="K78" s="55" t="s">
        <v>109</v>
      </c>
    </row>
    <row r="79" spans="1:15" s="31" customFormat="1" x14ac:dyDescent="0.3">
      <c r="B79" s="99"/>
      <c r="D79" s="32"/>
      <c r="E79" s="36"/>
      <c r="F79" s="54">
        <f>SUM(F71:F78)</f>
        <v>0</v>
      </c>
      <c r="G79" s="54">
        <f>SUM(G71:G78)</f>
        <v>0</v>
      </c>
      <c r="H79" s="54">
        <f>SUM(H71:H78)</f>
        <v>0</v>
      </c>
      <c r="I79" s="54">
        <f>SUM(I71:I78)</f>
        <v>0</v>
      </c>
      <c r="J79" s="54">
        <f>F79</f>
        <v>0</v>
      </c>
      <c r="K79" s="34">
        <f>I79</f>
        <v>0</v>
      </c>
      <c r="L79" s="155">
        <f>IF(F79=0,0,(I79-F79)/F79)</f>
        <v>0</v>
      </c>
      <c r="M79" s="120">
        <f>SUM(I71:I78)-SUM(F71:F78)</f>
        <v>0</v>
      </c>
      <c r="N79" s="86"/>
    </row>
    <row r="80" spans="1:15" ht="15.6" x14ac:dyDescent="0.3">
      <c r="A80" s="261" t="str">
        <f>'Optional-3'!B200</f>
        <v>#8</v>
      </c>
      <c r="B80" s="293"/>
      <c r="C80" s="112"/>
      <c r="D80" s="113"/>
      <c r="E80" s="112"/>
      <c r="F80" s="112"/>
      <c r="G80" s="112"/>
      <c r="H80" s="112"/>
      <c r="I80" s="112"/>
      <c r="J80" s="112"/>
      <c r="K80" s="112"/>
      <c r="L80" s="112"/>
      <c r="M80" s="112"/>
      <c r="O80"/>
    </row>
    <row r="81" spans="1:15" s="31" customFormat="1" ht="27.6" x14ac:dyDescent="0.3">
      <c r="A81" s="47" t="s">
        <v>184</v>
      </c>
      <c r="B81" s="290" t="s">
        <v>185</v>
      </c>
      <c r="C81" s="74" t="s">
        <v>47</v>
      </c>
      <c r="D81" s="74" t="s">
        <v>186</v>
      </c>
      <c r="E81" s="75" t="s">
        <v>193</v>
      </c>
      <c r="F81" s="48" t="s">
        <v>22</v>
      </c>
      <c r="G81" s="49" t="s">
        <v>194</v>
      </c>
      <c r="H81" s="49" t="s">
        <v>23</v>
      </c>
      <c r="I81" s="50" t="s">
        <v>100</v>
      </c>
    </row>
    <row r="82" spans="1:15" s="31" customFormat="1" x14ac:dyDescent="0.3">
      <c r="A82" s="103"/>
      <c r="B82" s="294"/>
      <c r="C82" s="104"/>
      <c r="D82" s="104"/>
      <c r="E82" s="105"/>
      <c r="F82" s="36">
        <f>C82*E82</f>
        <v>0</v>
      </c>
      <c r="G82" s="36">
        <f>IF(A82="",0,E82*(1+VLOOKUP(A82,$O$5:$P$10,2,FALSE)))</f>
        <v>0</v>
      </c>
      <c r="H82" s="36">
        <f>C82*G82</f>
        <v>0</v>
      </c>
      <c r="I82" s="36">
        <f>IF(OR($P$16=0,$P$16=""),H82*1,H82*(1+$P$16))</f>
        <v>0</v>
      </c>
    </row>
    <row r="83" spans="1:15" s="31" customFormat="1" x14ac:dyDescent="0.3">
      <c r="A83" s="103"/>
      <c r="B83" s="295"/>
      <c r="C83" s="139"/>
      <c r="D83" s="139"/>
      <c r="E83" s="105"/>
      <c r="F83" s="36">
        <f t="shared" ref="F83:F89" si="32">C83*E83</f>
        <v>0</v>
      </c>
      <c r="G83" s="36">
        <f t="shared" ref="G83:G89" si="33">IF(A83="",0,E83*(1+VLOOKUP(A83,$O$5:$P$10,2,FALSE)))</f>
        <v>0</v>
      </c>
      <c r="H83" s="36">
        <f t="shared" ref="H83:H89" si="34">C83*G83</f>
        <v>0</v>
      </c>
      <c r="I83" s="36">
        <f t="shared" ref="I83:I89" si="35">IF(OR($P$16=0,$P$16=""),H83*1,H83*(1+$P$16))</f>
        <v>0</v>
      </c>
    </row>
    <row r="84" spans="1:15" s="31" customFormat="1" x14ac:dyDescent="0.3">
      <c r="A84" s="103"/>
      <c r="B84" s="294"/>
      <c r="C84" s="104"/>
      <c r="D84" s="104"/>
      <c r="E84" s="105"/>
      <c r="F84" s="36">
        <f t="shared" si="32"/>
        <v>0</v>
      </c>
      <c r="G84" s="36">
        <f t="shared" si="33"/>
        <v>0</v>
      </c>
      <c r="H84" s="36">
        <f t="shared" si="34"/>
        <v>0</v>
      </c>
      <c r="I84" s="36">
        <f t="shared" si="35"/>
        <v>0</v>
      </c>
    </row>
    <row r="85" spans="1:15" s="31" customFormat="1" x14ac:dyDescent="0.3">
      <c r="A85" s="103"/>
      <c r="B85" s="294"/>
      <c r="C85" s="104"/>
      <c r="D85" s="104"/>
      <c r="E85" s="105"/>
      <c r="F85" s="36">
        <f t="shared" si="32"/>
        <v>0</v>
      </c>
      <c r="G85" s="36">
        <f t="shared" si="33"/>
        <v>0</v>
      </c>
      <c r="H85" s="36">
        <f t="shared" si="34"/>
        <v>0</v>
      </c>
      <c r="I85" s="36">
        <f t="shared" si="35"/>
        <v>0</v>
      </c>
    </row>
    <row r="86" spans="1:15" s="31" customFormat="1" x14ac:dyDescent="0.3">
      <c r="A86" s="103"/>
      <c r="B86" s="295"/>
      <c r="C86" s="139"/>
      <c r="D86" s="139"/>
      <c r="E86" s="105"/>
      <c r="F86" s="36">
        <f t="shared" si="32"/>
        <v>0</v>
      </c>
      <c r="G86" s="36">
        <f t="shared" si="33"/>
        <v>0</v>
      </c>
      <c r="H86" s="36">
        <f t="shared" si="34"/>
        <v>0</v>
      </c>
      <c r="I86" s="36">
        <f t="shared" si="35"/>
        <v>0</v>
      </c>
    </row>
    <row r="87" spans="1:15" s="31" customFormat="1" x14ac:dyDescent="0.3">
      <c r="A87" s="103"/>
      <c r="B87" s="295"/>
      <c r="C87" s="139"/>
      <c r="D87" s="139"/>
      <c r="E87" s="105"/>
      <c r="F87" s="36">
        <f t="shared" si="32"/>
        <v>0</v>
      </c>
      <c r="G87" s="36">
        <f t="shared" si="33"/>
        <v>0</v>
      </c>
      <c r="H87" s="36">
        <f t="shared" si="34"/>
        <v>0</v>
      </c>
      <c r="I87" s="36">
        <f t="shared" si="35"/>
        <v>0</v>
      </c>
    </row>
    <row r="88" spans="1:15" s="31" customFormat="1" x14ac:dyDescent="0.3">
      <c r="A88" s="103"/>
      <c r="B88" s="295"/>
      <c r="C88" s="139"/>
      <c r="D88" s="139"/>
      <c r="E88" s="105"/>
      <c r="F88" s="36">
        <f t="shared" si="32"/>
        <v>0</v>
      </c>
      <c r="G88" s="36">
        <f t="shared" si="33"/>
        <v>0</v>
      </c>
      <c r="H88" s="36">
        <f t="shared" si="34"/>
        <v>0</v>
      </c>
      <c r="I88" s="36">
        <f t="shared" si="35"/>
        <v>0</v>
      </c>
    </row>
    <row r="89" spans="1:15" s="31" customFormat="1" x14ac:dyDescent="0.3">
      <c r="A89" s="106"/>
      <c r="B89" s="295"/>
      <c r="C89" s="139"/>
      <c r="D89" s="139"/>
      <c r="E89" s="108"/>
      <c r="F89" s="36">
        <f t="shared" si="32"/>
        <v>0</v>
      </c>
      <c r="G89" s="36">
        <f t="shared" si="33"/>
        <v>0</v>
      </c>
      <c r="H89" s="36">
        <f t="shared" si="34"/>
        <v>0</v>
      </c>
      <c r="I89" s="36">
        <f t="shared" si="35"/>
        <v>0</v>
      </c>
      <c r="J89" s="56" t="s">
        <v>108</v>
      </c>
      <c r="K89" s="55" t="s">
        <v>109</v>
      </c>
    </row>
    <row r="90" spans="1:15" s="31" customFormat="1" x14ac:dyDescent="0.3">
      <c r="B90" s="292"/>
      <c r="C90"/>
      <c r="D90"/>
      <c r="E90" s="36"/>
      <c r="F90" s="54">
        <f>SUM(F82:F89)</f>
        <v>0</v>
      </c>
      <c r="G90" s="54">
        <f>SUM(G82:G89)</f>
        <v>0</v>
      </c>
      <c r="H90" s="54">
        <f>SUM(H82:H89)</f>
        <v>0</v>
      </c>
      <c r="I90" s="54">
        <f>SUM(I82:I89)</f>
        <v>0</v>
      </c>
      <c r="J90" s="54">
        <f>F90</f>
        <v>0</v>
      </c>
      <c r="K90" s="34">
        <f>I90</f>
        <v>0</v>
      </c>
      <c r="L90" s="155">
        <f>IF(F90=0,0,(I90-F90)/F90)</f>
        <v>0</v>
      </c>
      <c r="M90" s="120">
        <f>SUM(I82:I89)-SUM(F82:F89)</f>
        <v>0</v>
      </c>
      <c r="N90" s="86"/>
    </row>
    <row r="91" spans="1:15" ht="15.6" x14ac:dyDescent="0.3">
      <c r="A91" s="261" t="str">
        <f>'Optional-3'!B228</f>
        <v>#9</v>
      </c>
      <c r="B91" s="293"/>
      <c r="C91" s="112"/>
      <c r="D91" s="113"/>
      <c r="E91" s="112"/>
      <c r="F91" s="112"/>
      <c r="G91" s="112"/>
      <c r="H91" s="112"/>
      <c r="I91" s="112"/>
      <c r="J91" s="112"/>
      <c r="K91" s="112"/>
      <c r="L91" s="112"/>
      <c r="M91" s="112"/>
      <c r="O91"/>
    </row>
    <row r="92" spans="1:15" s="31" customFormat="1" ht="27.6" x14ac:dyDescent="0.3">
      <c r="A92" s="47" t="s">
        <v>184</v>
      </c>
      <c r="B92" s="290" t="s">
        <v>185</v>
      </c>
      <c r="C92" s="74" t="s">
        <v>47</v>
      </c>
      <c r="D92" s="74" t="s">
        <v>186</v>
      </c>
      <c r="E92" s="75" t="s">
        <v>193</v>
      </c>
      <c r="F92" s="48" t="s">
        <v>22</v>
      </c>
      <c r="G92" s="49" t="s">
        <v>194</v>
      </c>
      <c r="H92" s="49" t="s">
        <v>23</v>
      </c>
      <c r="I92" s="50" t="s">
        <v>100</v>
      </c>
    </row>
    <row r="93" spans="1:15" s="31" customFormat="1" x14ac:dyDescent="0.3">
      <c r="A93" s="103"/>
      <c r="B93" s="294"/>
      <c r="C93" s="104"/>
      <c r="D93" s="104"/>
      <c r="E93" s="105"/>
      <c r="F93" s="36">
        <f t="shared" ref="F93:F100" si="36">C93*E93</f>
        <v>0</v>
      </c>
      <c r="G93" s="36">
        <f t="shared" ref="G93:G100" si="37">IF(A93="",0,E93*(1+VLOOKUP(A93,$O$5:$P$10,2,FALSE)))</f>
        <v>0</v>
      </c>
      <c r="H93" s="36">
        <f>C93*G93</f>
        <v>0</v>
      </c>
      <c r="I93" s="36">
        <f>IF(OR($P$16=0,$P$16=""),H93*1,H93*(1+$P$16))</f>
        <v>0</v>
      </c>
    </row>
    <row r="94" spans="1:15" s="31" customFormat="1" x14ac:dyDescent="0.3">
      <c r="A94" s="103"/>
      <c r="B94" s="294"/>
      <c r="C94" s="104"/>
      <c r="D94" s="104"/>
      <c r="E94" s="105"/>
      <c r="F94" s="36">
        <f t="shared" si="36"/>
        <v>0</v>
      </c>
      <c r="G94" s="36">
        <f t="shared" si="37"/>
        <v>0</v>
      </c>
      <c r="H94" s="36">
        <f t="shared" ref="H94:H100" si="38">C94*G94</f>
        <v>0</v>
      </c>
      <c r="I94" s="36">
        <f t="shared" ref="I94:I100" si="39">IF(OR($P$16=0,$P$16=""),H94*1,H94*(1+$P$16))</f>
        <v>0</v>
      </c>
    </row>
    <row r="95" spans="1:15" s="31" customFormat="1" x14ac:dyDescent="0.3">
      <c r="A95" s="103"/>
      <c r="B95" s="294"/>
      <c r="C95" s="104"/>
      <c r="D95" s="104"/>
      <c r="E95" s="105"/>
      <c r="F95" s="36">
        <f t="shared" si="36"/>
        <v>0</v>
      </c>
      <c r="G95" s="36">
        <f t="shared" si="37"/>
        <v>0</v>
      </c>
      <c r="H95" s="36">
        <f t="shared" si="38"/>
        <v>0</v>
      </c>
      <c r="I95" s="36">
        <f t="shared" si="39"/>
        <v>0</v>
      </c>
    </row>
    <row r="96" spans="1:15" s="31" customFormat="1" x14ac:dyDescent="0.3">
      <c r="A96" s="103"/>
      <c r="B96" s="294"/>
      <c r="C96" s="104"/>
      <c r="D96" s="104"/>
      <c r="E96" s="105"/>
      <c r="F96" s="36">
        <f t="shared" si="36"/>
        <v>0</v>
      </c>
      <c r="G96" s="36">
        <f t="shared" si="37"/>
        <v>0</v>
      </c>
      <c r="H96" s="36">
        <f t="shared" si="38"/>
        <v>0</v>
      </c>
      <c r="I96" s="36">
        <f t="shared" si="39"/>
        <v>0</v>
      </c>
    </row>
    <row r="97" spans="1:15" s="31" customFormat="1" x14ac:dyDescent="0.3">
      <c r="A97" s="103"/>
      <c r="B97" s="294"/>
      <c r="C97" s="104"/>
      <c r="D97" s="104"/>
      <c r="E97" s="105"/>
      <c r="F97" s="36">
        <f t="shared" si="36"/>
        <v>0</v>
      </c>
      <c r="G97" s="36">
        <f t="shared" si="37"/>
        <v>0</v>
      </c>
      <c r="H97" s="36">
        <f t="shared" si="38"/>
        <v>0</v>
      </c>
      <c r="I97" s="36">
        <f t="shared" si="39"/>
        <v>0</v>
      </c>
    </row>
    <row r="98" spans="1:15" s="31" customFormat="1" x14ac:dyDescent="0.3">
      <c r="A98" s="103"/>
      <c r="B98" s="294"/>
      <c r="C98" s="104"/>
      <c r="D98" s="104"/>
      <c r="E98" s="105"/>
      <c r="F98" s="36">
        <f t="shared" si="36"/>
        <v>0</v>
      </c>
      <c r="G98" s="36">
        <f t="shared" si="37"/>
        <v>0</v>
      </c>
      <c r="H98" s="36">
        <f t="shared" si="38"/>
        <v>0</v>
      </c>
      <c r="I98" s="36">
        <f t="shared" si="39"/>
        <v>0</v>
      </c>
    </row>
    <row r="99" spans="1:15" s="31" customFormat="1" x14ac:dyDescent="0.3">
      <c r="A99" s="103"/>
      <c r="B99" s="294"/>
      <c r="C99" s="104"/>
      <c r="D99" s="104"/>
      <c r="E99" s="105"/>
      <c r="F99" s="36">
        <f t="shared" si="36"/>
        <v>0</v>
      </c>
      <c r="G99" s="36">
        <f t="shared" si="37"/>
        <v>0</v>
      </c>
      <c r="H99" s="36">
        <f t="shared" si="38"/>
        <v>0</v>
      </c>
      <c r="I99" s="36">
        <f t="shared" si="39"/>
        <v>0</v>
      </c>
    </row>
    <row r="100" spans="1:15" s="31" customFormat="1" x14ac:dyDescent="0.3">
      <c r="A100" s="106"/>
      <c r="B100" s="296"/>
      <c r="C100" s="107"/>
      <c r="D100" s="107"/>
      <c r="E100" s="108"/>
      <c r="F100" s="36">
        <f t="shared" si="36"/>
        <v>0</v>
      </c>
      <c r="G100" s="36">
        <f t="shared" si="37"/>
        <v>0</v>
      </c>
      <c r="H100" s="36">
        <f t="shared" si="38"/>
        <v>0</v>
      </c>
      <c r="I100" s="36">
        <f t="shared" si="39"/>
        <v>0</v>
      </c>
      <c r="J100" s="56" t="s">
        <v>108</v>
      </c>
      <c r="K100" s="55" t="s">
        <v>109</v>
      </c>
    </row>
    <row r="101" spans="1:15" s="31" customFormat="1" x14ac:dyDescent="0.3">
      <c r="B101" s="99"/>
      <c r="D101" s="32"/>
      <c r="E101" s="36"/>
      <c r="F101" s="54">
        <f>SUM(F93:F100)</f>
        <v>0</v>
      </c>
      <c r="G101" s="54">
        <f>SUM(G93:G100)</f>
        <v>0</v>
      </c>
      <c r="H101" s="54">
        <f>SUM(H93:H100)</f>
        <v>0</v>
      </c>
      <c r="I101" s="54">
        <f>SUM(I93:I100)</f>
        <v>0</v>
      </c>
      <c r="J101" s="54">
        <f>F101</f>
        <v>0</v>
      </c>
      <c r="K101" s="34">
        <f>I101</f>
        <v>0</v>
      </c>
      <c r="L101" s="155">
        <f>IF(F101=0,0,(I101-F101)/F101)</f>
        <v>0</v>
      </c>
      <c r="M101" s="120">
        <f>SUM(I93:I100)-SUM(F93:F100)</f>
        <v>0</v>
      </c>
      <c r="N101" s="86"/>
    </row>
    <row r="102" spans="1:15" ht="15.6" x14ac:dyDescent="0.3">
      <c r="A102" s="261" t="str">
        <f>'Optional-3'!B256</f>
        <v>#10</v>
      </c>
      <c r="B102" s="293"/>
      <c r="C102" s="112"/>
      <c r="D102" s="113"/>
      <c r="E102" s="112"/>
      <c r="F102" s="112"/>
      <c r="G102" s="112"/>
      <c r="H102" s="112"/>
      <c r="I102" s="112"/>
      <c r="J102" s="112"/>
      <c r="K102" s="112"/>
      <c r="L102" s="112"/>
      <c r="M102" s="112"/>
      <c r="O102"/>
    </row>
    <row r="103" spans="1:15" s="31" customFormat="1" ht="27.6" x14ac:dyDescent="0.3">
      <c r="A103" s="47" t="s">
        <v>184</v>
      </c>
      <c r="B103" s="290" t="s">
        <v>185</v>
      </c>
      <c r="C103" s="74" t="s">
        <v>47</v>
      </c>
      <c r="D103" s="74" t="s">
        <v>186</v>
      </c>
      <c r="E103" s="75" t="s">
        <v>193</v>
      </c>
      <c r="F103" s="48" t="s">
        <v>22</v>
      </c>
      <c r="G103" s="49" t="s">
        <v>194</v>
      </c>
      <c r="H103" s="49" t="s">
        <v>23</v>
      </c>
      <c r="I103" s="50" t="s">
        <v>100</v>
      </c>
    </row>
    <row r="104" spans="1:15" s="31" customFormat="1" x14ac:dyDescent="0.3">
      <c r="A104" s="103"/>
      <c r="B104" s="294"/>
      <c r="C104" s="104"/>
      <c r="D104" s="104"/>
      <c r="E104" s="105"/>
      <c r="F104" s="36">
        <f t="shared" ref="F104:F111" si="40">C104*E104</f>
        <v>0</v>
      </c>
      <c r="G104" s="36">
        <f t="shared" ref="G104:G111" si="41">IF(A104="",0,E104*(1+VLOOKUP(A104,$O$5:$P$10,2,FALSE)))</f>
        <v>0</v>
      </c>
      <c r="H104" s="36">
        <f>C104*G104</f>
        <v>0</v>
      </c>
      <c r="I104" s="36">
        <f>IF(OR($P$16=0,$P$16=""),H104*1,H104*(1+$P$16))</f>
        <v>0</v>
      </c>
    </row>
    <row r="105" spans="1:15" s="31" customFormat="1" x14ac:dyDescent="0.3">
      <c r="A105" s="103"/>
      <c r="B105" s="294"/>
      <c r="C105" s="104"/>
      <c r="D105" s="104"/>
      <c r="E105" s="105"/>
      <c r="F105" s="36">
        <f t="shared" si="40"/>
        <v>0</v>
      </c>
      <c r="G105" s="36">
        <f t="shared" si="41"/>
        <v>0</v>
      </c>
      <c r="H105" s="36">
        <f t="shared" ref="H105:H111" si="42">C105*G105</f>
        <v>0</v>
      </c>
      <c r="I105" s="36">
        <f t="shared" ref="I105:I111" si="43">IF(OR($P$16=0,$P$16=""),H105*1,H105*(1+$P$16))</f>
        <v>0</v>
      </c>
    </row>
    <row r="106" spans="1:15" s="31" customFormat="1" x14ac:dyDescent="0.3">
      <c r="A106" s="103"/>
      <c r="B106" s="294"/>
      <c r="C106" s="104"/>
      <c r="D106" s="104"/>
      <c r="E106" s="105"/>
      <c r="F106" s="36">
        <f t="shared" si="40"/>
        <v>0</v>
      </c>
      <c r="G106" s="36">
        <f t="shared" si="41"/>
        <v>0</v>
      </c>
      <c r="H106" s="36">
        <f t="shared" si="42"/>
        <v>0</v>
      </c>
      <c r="I106" s="36">
        <f t="shared" si="43"/>
        <v>0</v>
      </c>
    </row>
    <row r="107" spans="1:15" s="31" customFormat="1" x14ac:dyDescent="0.3">
      <c r="A107" s="103"/>
      <c r="B107" s="294"/>
      <c r="C107" s="104"/>
      <c r="D107" s="104"/>
      <c r="E107" s="105"/>
      <c r="F107" s="36">
        <f t="shared" si="40"/>
        <v>0</v>
      </c>
      <c r="G107" s="36">
        <f t="shared" si="41"/>
        <v>0</v>
      </c>
      <c r="H107" s="36">
        <f t="shared" si="42"/>
        <v>0</v>
      </c>
      <c r="I107" s="36">
        <f t="shared" si="43"/>
        <v>0</v>
      </c>
    </row>
    <row r="108" spans="1:15" s="31" customFormat="1" x14ac:dyDescent="0.3">
      <c r="A108" s="103"/>
      <c r="B108" s="294"/>
      <c r="C108" s="104"/>
      <c r="D108" s="104"/>
      <c r="E108" s="105"/>
      <c r="F108" s="36">
        <f t="shared" si="40"/>
        <v>0</v>
      </c>
      <c r="G108" s="36">
        <f t="shared" si="41"/>
        <v>0</v>
      </c>
      <c r="H108" s="36">
        <f t="shared" si="42"/>
        <v>0</v>
      </c>
      <c r="I108" s="36">
        <f t="shared" si="43"/>
        <v>0</v>
      </c>
    </row>
    <row r="109" spans="1:15" s="31" customFormat="1" x14ac:dyDescent="0.3">
      <c r="A109" s="103"/>
      <c r="B109" s="294"/>
      <c r="C109" s="104"/>
      <c r="D109" s="104"/>
      <c r="E109" s="105"/>
      <c r="F109" s="36">
        <f t="shared" si="40"/>
        <v>0</v>
      </c>
      <c r="G109" s="36">
        <f t="shared" si="41"/>
        <v>0</v>
      </c>
      <c r="H109" s="36">
        <f t="shared" si="42"/>
        <v>0</v>
      </c>
      <c r="I109" s="36">
        <f t="shared" si="43"/>
        <v>0</v>
      </c>
    </row>
    <row r="110" spans="1:15" s="31" customFormat="1" x14ac:dyDescent="0.3">
      <c r="A110" s="103"/>
      <c r="B110" s="294"/>
      <c r="C110" s="104"/>
      <c r="D110" s="104"/>
      <c r="E110" s="105"/>
      <c r="F110" s="36">
        <f t="shared" si="40"/>
        <v>0</v>
      </c>
      <c r="G110" s="36">
        <f t="shared" si="41"/>
        <v>0</v>
      </c>
      <c r="H110" s="36">
        <f t="shared" si="42"/>
        <v>0</v>
      </c>
      <c r="I110" s="36">
        <f t="shared" si="43"/>
        <v>0</v>
      </c>
    </row>
    <row r="111" spans="1:15" s="31" customFormat="1" x14ac:dyDescent="0.3">
      <c r="A111" s="106"/>
      <c r="B111" s="296"/>
      <c r="C111" s="107"/>
      <c r="D111" s="107"/>
      <c r="E111" s="108"/>
      <c r="F111" s="36">
        <f t="shared" si="40"/>
        <v>0</v>
      </c>
      <c r="G111" s="36">
        <f t="shared" si="41"/>
        <v>0</v>
      </c>
      <c r="H111" s="36">
        <f t="shared" si="42"/>
        <v>0</v>
      </c>
      <c r="I111" s="36">
        <f t="shared" si="43"/>
        <v>0</v>
      </c>
      <c r="J111" s="56" t="s">
        <v>108</v>
      </c>
      <c r="K111" s="55" t="s">
        <v>109</v>
      </c>
    </row>
    <row r="112" spans="1:15" s="31" customFormat="1" x14ac:dyDescent="0.3">
      <c r="B112" s="99"/>
      <c r="D112" s="32"/>
      <c r="E112" s="36"/>
      <c r="F112" s="54">
        <f>SUM(F104:F111)</f>
        <v>0</v>
      </c>
      <c r="G112" s="54">
        <f>SUM(G104:G111)</f>
        <v>0</v>
      </c>
      <c r="H112" s="54">
        <f>SUM(H104:H111)</f>
        <v>0</v>
      </c>
      <c r="I112" s="54">
        <f>SUM(I104:I111)</f>
        <v>0</v>
      </c>
      <c r="J112" s="54">
        <f>F112</f>
        <v>0</v>
      </c>
      <c r="K112" s="34">
        <f>I112</f>
        <v>0</v>
      </c>
      <c r="L112" s="155">
        <f>IF(F112=0,0,(I112-F112)/F112)</f>
        <v>0</v>
      </c>
      <c r="M112" s="120">
        <f>SUM(I104:I111)-SUM(F104:F111)</f>
        <v>0</v>
      </c>
      <c r="N112" s="86"/>
    </row>
    <row r="113" spans="1:15" ht="15.6" x14ac:dyDescent="0.3">
      <c r="A113" s="261" t="str">
        <f>'Optional-3'!B284</f>
        <v>#11</v>
      </c>
      <c r="B113" s="293"/>
      <c r="C113" s="112"/>
      <c r="D113" s="113"/>
      <c r="E113" s="112"/>
      <c r="F113" s="112"/>
      <c r="G113" s="112"/>
      <c r="H113" s="112"/>
      <c r="I113" s="112"/>
      <c r="J113" s="112"/>
      <c r="K113" s="112"/>
      <c r="L113" s="112"/>
      <c r="M113" s="112"/>
      <c r="O113"/>
    </row>
    <row r="114" spans="1:15" s="31" customFormat="1" ht="27.6" x14ac:dyDescent="0.3">
      <c r="A114" s="47" t="s">
        <v>184</v>
      </c>
      <c r="B114" s="290" t="s">
        <v>185</v>
      </c>
      <c r="C114" s="74" t="s">
        <v>47</v>
      </c>
      <c r="D114" s="74" t="s">
        <v>186</v>
      </c>
      <c r="E114" s="75" t="s">
        <v>193</v>
      </c>
      <c r="F114" s="48" t="s">
        <v>22</v>
      </c>
      <c r="G114" s="49" t="s">
        <v>194</v>
      </c>
      <c r="H114" s="49" t="s">
        <v>23</v>
      </c>
      <c r="I114" s="50" t="s">
        <v>100</v>
      </c>
    </row>
    <row r="115" spans="1:15" s="31" customFormat="1" x14ac:dyDescent="0.3">
      <c r="A115" s="103"/>
      <c r="B115" s="294"/>
      <c r="C115" s="104"/>
      <c r="D115" s="104"/>
      <c r="E115" s="105"/>
      <c r="F115" s="36">
        <f t="shared" ref="F115:F122" si="44">C115*E115</f>
        <v>0</v>
      </c>
      <c r="G115" s="36">
        <f t="shared" ref="G115:G122" si="45">IF(A115="",0,E115*(1+VLOOKUP(A115,$O$5:$P$10,2,FALSE)))</f>
        <v>0</v>
      </c>
      <c r="H115" s="36">
        <f>C115*G115</f>
        <v>0</v>
      </c>
      <c r="I115" s="36">
        <f>IF(OR($P$16=0,$P$16=""),H115*1,H115*(1+$P$16))</f>
        <v>0</v>
      </c>
    </row>
    <row r="116" spans="1:15" s="31" customFormat="1" x14ac:dyDescent="0.3">
      <c r="A116" s="103"/>
      <c r="B116" s="294"/>
      <c r="C116" s="104"/>
      <c r="D116" s="104"/>
      <c r="E116" s="105"/>
      <c r="F116" s="36">
        <f t="shared" si="44"/>
        <v>0</v>
      </c>
      <c r="G116" s="36">
        <f t="shared" si="45"/>
        <v>0</v>
      </c>
      <c r="H116" s="36">
        <f t="shared" ref="H116:H122" si="46">C116*G116</f>
        <v>0</v>
      </c>
      <c r="I116" s="36">
        <f t="shared" ref="I116:I122" si="47">IF(OR($P$16=0,$P$16=""),H116*1,H116*(1+$P$16))</f>
        <v>0</v>
      </c>
    </row>
    <row r="117" spans="1:15" s="31" customFormat="1" x14ac:dyDescent="0.3">
      <c r="A117" s="103"/>
      <c r="B117" s="294"/>
      <c r="C117" s="104"/>
      <c r="D117" s="104"/>
      <c r="E117" s="105"/>
      <c r="F117" s="36">
        <f t="shared" si="44"/>
        <v>0</v>
      </c>
      <c r="G117" s="36">
        <f t="shared" si="45"/>
        <v>0</v>
      </c>
      <c r="H117" s="36">
        <f t="shared" si="46"/>
        <v>0</v>
      </c>
      <c r="I117" s="36">
        <f t="shared" si="47"/>
        <v>0</v>
      </c>
    </row>
    <row r="118" spans="1:15" s="31" customFormat="1" x14ac:dyDescent="0.3">
      <c r="A118" s="103"/>
      <c r="B118" s="294"/>
      <c r="C118" s="104"/>
      <c r="D118" s="104"/>
      <c r="E118" s="105"/>
      <c r="F118" s="36">
        <f t="shared" si="44"/>
        <v>0</v>
      </c>
      <c r="G118" s="36">
        <f t="shared" si="45"/>
        <v>0</v>
      </c>
      <c r="H118" s="36">
        <f t="shared" si="46"/>
        <v>0</v>
      </c>
      <c r="I118" s="36">
        <f t="shared" si="47"/>
        <v>0</v>
      </c>
    </row>
    <row r="119" spans="1:15" s="31" customFormat="1" x14ac:dyDescent="0.3">
      <c r="A119" s="103"/>
      <c r="B119" s="294"/>
      <c r="C119" s="104"/>
      <c r="D119" s="104"/>
      <c r="E119" s="105"/>
      <c r="F119" s="36">
        <f t="shared" si="44"/>
        <v>0</v>
      </c>
      <c r="G119" s="36">
        <f t="shared" si="45"/>
        <v>0</v>
      </c>
      <c r="H119" s="36">
        <f t="shared" si="46"/>
        <v>0</v>
      </c>
      <c r="I119" s="36">
        <f t="shared" si="47"/>
        <v>0</v>
      </c>
    </row>
    <row r="120" spans="1:15" s="31" customFormat="1" x14ac:dyDescent="0.3">
      <c r="A120" s="103"/>
      <c r="B120" s="294"/>
      <c r="C120" s="104"/>
      <c r="D120" s="104"/>
      <c r="E120" s="105"/>
      <c r="F120" s="36">
        <f t="shared" si="44"/>
        <v>0</v>
      </c>
      <c r="G120" s="36">
        <f t="shared" si="45"/>
        <v>0</v>
      </c>
      <c r="H120" s="36">
        <f t="shared" si="46"/>
        <v>0</v>
      </c>
      <c r="I120" s="36">
        <f t="shared" si="47"/>
        <v>0</v>
      </c>
    </row>
    <row r="121" spans="1:15" s="31" customFormat="1" x14ac:dyDescent="0.3">
      <c r="A121" s="103"/>
      <c r="B121" s="294"/>
      <c r="C121" s="104"/>
      <c r="D121" s="104"/>
      <c r="E121" s="105"/>
      <c r="F121" s="36">
        <f t="shared" si="44"/>
        <v>0</v>
      </c>
      <c r="G121" s="36">
        <f t="shared" si="45"/>
        <v>0</v>
      </c>
      <c r="H121" s="36">
        <f t="shared" si="46"/>
        <v>0</v>
      </c>
      <c r="I121" s="36">
        <f t="shared" si="47"/>
        <v>0</v>
      </c>
    </row>
    <row r="122" spans="1:15" s="31" customFormat="1" x14ac:dyDescent="0.3">
      <c r="A122" s="106"/>
      <c r="B122" s="296"/>
      <c r="C122" s="107"/>
      <c r="D122" s="107"/>
      <c r="E122" s="108"/>
      <c r="F122" s="36">
        <f t="shared" si="44"/>
        <v>0</v>
      </c>
      <c r="G122" s="36">
        <f t="shared" si="45"/>
        <v>0</v>
      </c>
      <c r="H122" s="36">
        <f t="shared" si="46"/>
        <v>0</v>
      </c>
      <c r="I122" s="36">
        <f t="shared" si="47"/>
        <v>0</v>
      </c>
      <c r="J122" s="56" t="s">
        <v>108</v>
      </c>
      <c r="K122" s="55" t="s">
        <v>109</v>
      </c>
    </row>
    <row r="123" spans="1:15" s="31" customFormat="1" x14ac:dyDescent="0.3">
      <c r="B123" s="99"/>
      <c r="D123" s="32"/>
      <c r="E123" s="36"/>
      <c r="F123" s="54">
        <f>SUM(F115:F122)</f>
        <v>0</v>
      </c>
      <c r="G123" s="54">
        <f>SUM(G115:G122)</f>
        <v>0</v>
      </c>
      <c r="H123" s="54">
        <f>SUM(H115:H122)</f>
        <v>0</v>
      </c>
      <c r="I123" s="54">
        <f>SUM(I115:I122)</f>
        <v>0</v>
      </c>
      <c r="J123" s="54">
        <f>F123</f>
        <v>0</v>
      </c>
      <c r="K123" s="34">
        <f>I123</f>
        <v>0</v>
      </c>
      <c r="L123" s="155">
        <f>IF(F123=0,0,(I123-F123)/F123)</f>
        <v>0</v>
      </c>
      <c r="M123" s="120">
        <f>SUM(I115:I122)-SUM(F115:F122)</f>
        <v>0</v>
      </c>
      <c r="N123" s="86"/>
    </row>
    <row r="124" spans="1:15" ht="15.6" x14ac:dyDescent="0.3">
      <c r="A124" s="261" t="str">
        <f>'Optional-3'!B312</f>
        <v>#12</v>
      </c>
      <c r="B124" s="293"/>
      <c r="C124" s="112"/>
      <c r="D124" s="113"/>
      <c r="E124" s="112"/>
      <c r="F124" s="112"/>
      <c r="G124" s="112"/>
      <c r="H124" s="112"/>
      <c r="I124" s="112"/>
      <c r="J124" s="112"/>
      <c r="K124" s="112"/>
      <c r="L124" s="112"/>
      <c r="M124" s="112"/>
      <c r="O124"/>
    </row>
    <row r="125" spans="1:15" s="31" customFormat="1" ht="27.6" x14ac:dyDescent="0.3">
      <c r="A125" s="47" t="s">
        <v>184</v>
      </c>
      <c r="B125" s="290" t="s">
        <v>185</v>
      </c>
      <c r="C125" s="74" t="s">
        <v>47</v>
      </c>
      <c r="D125" s="74" t="s">
        <v>186</v>
      </c>
      <c r="E125" s="75" t="s">
        <v>193</v>
      </c>
      <c r="F125" s="48" t="s">
        <v>22</v>
      </c>
      <c r="G125" s="49" t="s">
        <v>194</v>
      </c>
      <c r="H125" s="49" t="s">
        <v>23</v>
      </c>
      <c r="I125" s="50" t="s">
        <v>100</v>
      </c>
    </row>
    <row r="126" spans="1:15" s="31" customFormat="1" x14ac:dyDescent="0.3">
      <c r="A126" s="103"/>
      <c r="B126" s="294"/>
      <c r="C126" s="104"/>
      <c r="D126" s="104"/>
      <c r="E126" s="105"/>
      <c r="F126" s="36">
        <f t="shared" ref="F126:F133" si="48">C126*E126</f>
        <v>0</v>
      </c>
      <c r="G126" s="36">
        <f t="shared" ref="G126:G133" si="49">IF(A126="",0,E126*(1+VLOOKUP(A126,$O$5:$P$10,2,FALSE)))</f>
        <v>0</v>
      </c>
      <c r="H126" s="36">
        <f>C126*G126</f>
        <v>0</v>
      </c>
      <c r="I126" s="36">
        <f>IF(OR($P$16=0,$P$16=""),H126*1,H126*(1+$P$16))</f>
        <v>0</v>
      </c>
    </row>
    <row r="127" spans="1:15" s="31" customFormat="1" x14ac:dyDescent="0.3">
      <c r="A127" s="103"/>
      <c r="B127" s="294"/>
      <c r="C127" s="104"/>
      <c r="D127" s="104"/>
      <c r="E127" s="105"/>
      <c r="F127" s="36">
        <f t="shared" si="48"/>
        <v>0</v>
      </c>
      <c r="G127" s="36">
        <f t="shared" si="49"/>
        <v>0</v>
      </c>
      <c r="H127" s="36">
        <f t="shared" ref="H127:H133" si="50">C127*G127</f>
        <v>0</v>
      </c>
      <c r="I127" s="36">
        <f t="shared" ref="I127:I133" si="51">IF(OR($P$16=0,$P$16=""),H127*1,H127*(1+$P$16))</f>
        <v>0</v>
      </c>
    </row>
    <row r="128" spans="1:15" s="31" customFormat="1" x14ac:dyDescent="0.3">
      <c r="A128" s="103"/>
      <c r="B128" s="294"/>
      <c r="C128" s="104"/>
      <c r="D128" s="104"/>
      <c r="E128" s="105"/>
      <c r="F128" s="36">
        <f t="shared" si="48"/>
        <v>0</v>
      </c>
      <c r="G128" s="36">
        <f t="shared" si="49"/>
        <v>0</v>
      </c>
      <c r="H128" s="36">
        <f t="shared" si="50"/>
        <v>0</v>
      </c>
      <c r="I128" s="36">
        <f t="shared" si="51"/>
        <v>0</v>
      </c>
    </row>
    <row r="129" spans="1:15" s="31" customFormat="1" x14ac:dyDescent="0.3">
      <c r="A129" s="103"/>
      <c r="B129" s="294"/>
      <c r="C129" s="104"/>
      <c r="D129" s="104"/>
      <c r="E129" s="105"/>
      <c r="F129" s="36">
        <f t="shared" si="48"/>
        <v>0</v>
      </c>
      <c r="G129" s="36">
        <f t="shared" si="49"/>
        <v>0</v>
      </c>
      <c r="H129" s="36">
        <f t="shared" si="50"/>
        <v>0</v>
      </c>
      <c r="I129" s="36">
        <f t="shared" si="51"/>
        <v>0</v>
      </c>
    </row>
    <row r="130" spans="1:15" s="31" customFormat="1" x14ac:dyDescent="0.3">
      <c r="A130" s="103"/>
      <c r="B130" s="294"/>
      <c r="C130" s="104"/>
      <c r="D130" s="104"/>
      <c r="E130" s="105"/>
      <c r="F130" s="36">
        <f t="shared" si="48"/>
        <v>0</v>
      </c>
      <c r="G130" s="36">
        <f t="shared" si="49"/>
        <v>0</v>
      </c>
      <c r="H130" s="36">
        <f t="shared" si="50"/>
        <v>0</v>
      </c>
      <c r="I130" s="36">
        <f t="shared" si="51"/>
        <v>0</v>
      </c>
    </row>
    <row r="131" spans="1:15" s="31" customFormat="1" x14ac:dyDescent="0.3">
      <c r="A131" s="103"/>
      <c r="B131" s="294"/>
      <c r="C131" s="104"/>
      <c r="D131" s="104"/>
      <c r="E131" s="105"/>
      <c r="F131" s="36">
        <f t="shared" si="48"/>
        <v>0</v>
      </c>
      <c r="G131" s="36">
        <f t="shared" si="49"/>
        <v>0</v>
      </c>
      <c r="H131" s="36">
        <f t="shared" si="50"/>
        <v>0</v>
      </c>
      <c r="I131" s="36">
        <f t="shared" si="51"/>
        <v>0</v>
      </c>
    </row>
    <row r="132" spans="1:15" s="31" customFormat="1" x14ac:dyDescent="0.3">
      <c r="A132" s="103"/>
      <c r="B132" s="294"/>
      <c r="C132" s="104"/>
      <c r="D132" s="104"/>
      <c r="E132" s="105"/>
      <c r="F132" s="36">
        <f t="shared" si="48"/>
        <v>0</v>
      </c>
      <c r="G132" s="36">
        <f t="shared" si="49"/>
        <v>0</v>
      </c>
      <c r="H132" s="36">
        <f t="shared" si="50"/>
        <v>0</v>
      </c>
      <c r="I132" s="36">
        <f t="shared" si="51"/>
        <v>0</v>
      </c>
    </row>
    <row r="133" spans="1:15" s="31" customFormat="1" x14ac:dyDescent="0.3">
      <c r="A133" s="106"/>
      <c r="B133" s="296"/>
      <c r="C133" s="107"/>
      <c r="D133" s="107"/>
      <c r="E133" s="108"/>
      <c r="F133" s="36">
        <f t="shared" si="48"/>
        <v>0</v>
      </c>
      <c r="G133" s="36">
        <f t="shared" si="49"/>
        <v>0</v>
      </c>
      <c r="H133" s="36">
        <f t="shared" si="50"/>
        <v>0</v>
      </c>
      <c r="I133" s="36">
        <f t="shared" si="51"/>
        <v>0</v>
      </c>
      <c r="J133" s="56" t="s">
        <v>108</v>
      </c>
      <c r="K133" s="55" t="s">
        <v>109</v>
      </c>
    </row>
    <row r="134" spans="1:15" s="31" customFormat="1" x14ac:dyDescent="0.3">
      <c r="B134" s="99"/>
      <c r="D134" s="32"/>
      <c r="E134" s="36"/>
      <c r="F134" s="54">
        <f>SUM(F126:F133)</f>
        <v>0</v>
      </c>
      <c r="G134" s="54">
        <f>SUM(G126:G133)</f>
        <v>0</v>
      </c>
      <c r="H134" s="54">
        <f>SUM(H126:H133)</f>
        <v>0</v>
      </c>
      <c r="I134" s="54">
        <f>SUM(I126:I133)</f>
        <v>0</v>
      </c>
      <c r="J134" s="54">
        <f>F134</f>
        <v>0</v>
      </c>
      <c r="K134" s="34">
        <f>I134</f>
        <v>0</v>
      </c>
      <c r="L134" s="155">
        <f>IF(F134=0,0,(I134-F134)/F134)</f>
        <v>0</v>
      </c>
      <c r="M134" s="120">
        <f>SUM(I126:I133)-SUM(F126:F133)</f>
        <v>0</v>
      </c>
      <c r="N134" s="86"/>
    </row>
    <row r="135" spans="1:15" ht="15.6" x14ac:dyDescent="0.3">
      <c r="A135" s="261" t="str">
        <f>'Optional-3'!B340</f>
        <v>#13</v>
      </c>
      <c r="B135" s="293"/>
      <c r="C135" s="112"/>
      <c r="D135" s="113"/>
      <c r="E135" s="112"/>
      <c r="F135" s="112"/>
      <c r="G135" s="112"/>
      <c r="H135" s="112"/>
      <c r="I135" s="112"/>
      <c r="J135" s="112"/>
      <c r="K135" s="112"/>
      <c r="L135" s="112"/>
      <c r="M135" s="112"/>
      <c r="O135"/>
    </row>
    <row r="136" spans="1:15" s="31" customFormat="1" ht="27.6" x14ac:dyDescent="0.3">
      <c r="A136" s="47" t="s">
        <v>184</v>
      </c>
      <c r="B136" s="290" t="s">
        <v>185</v>
      </c>
      <c r="C136" s="74" t="s">
        <v>47</v>
      </c>
      <c r="D136" s="74" t="s">
        <v>186</v>
      </c>
      <c r="E136" s="75" t="s">
        <v>193</v>
      </c>
      <c r="F136" s="48" t="s">
        <v>22</v>
      </c>
      <c r="G136" s="49" t="s">
        <v>194</v>
      </c>
      <c r="H136" s="49" t="s">
        <v>23</v>
      </c>
      <c r="I136" s="50" t="s">
        <v>100</v>
      </c>
    </row>
    <row r="137" spans="1:15" s="31" customFormat="1" x14ac:dyDescent="0.3">
      <c r="A137" s="103"/>
      <c r="B137" s="294"/>
      <c r="C137" s="104"/>
      <c r="D137" s="104"/>
      <c r="E137" s="105"/>
      <c r="F137" s="36">
        <f t="shared" ref="F137:F144" si="52">C137*E137</f>
        <v>0</v>
      </c>
      <c r="G137" s="36">
        <f t="shared" ref="G137:G144" si="53">IF(A137="",0,E137*(1+VLOOKUP(A137,$O$5:$P$10,2,FALSE)))</f>
        <v>0</v>
      </c>
      <c r="H137" s="36">
        <f>C137*G137</f>
        <v>0</v>
      </c>
      <c r="I137" s="36">
        <f>IF(OR($P$16=0,$P$16=""),H137*1,H137*(1+$P$16))</f>
        <v>0</v>
      </c>
    </row>
    <row r="138" spans="1:15" s="31" customFormat="1" x14ac:dyDescent="0.3">
      <c r="A138" s="103"/>
      <c r="B138" s="294"/>
      <c r="C138" s="104"/>
      <c r="D138" s="104"/>
      <c r="E138" s="105"/>
      <c r="F138" s="36">
        <f t="shared" si="52"/>
        <v>0</v>
      </c>
      <c r="G138" s="36">
        <f t="shared" si="53"/>
        <v>0</v>
      </c>
      <c r="H138" s="36">
        <f t="shared" ref="H138:H144" si="54">C138*G138</f>
        <v>0</v>
      </c>
      <c r="I138" s="36">
        <f t="shared" ref="I138:I144" si="55">IF(OR($P$16=0,$P$16=""),H138*1,H138*(1+$P$16))</f>
        <v>0</v>
      </c>
    </row>
    <row r="139" spans="1:15" s="31" customFormat="1" x14ac:dyDescent="0.3">
      <c r="A139" s="103"/>
      <c r="B139" s="294"/>
      <c r="C139" s="104"/>
      <c r="D139" s="104"/>
      <c r="E139" s="105"/>
      <c r="F139" s="36">
        <f t="shared" si="52"/>
        <v>0</v>
      </c>
      <c r="G139" s="36">
        <f t="shared" si="53"/>
        <v>0</v>
      </c>
      <c r="H139" s="36">
        <f t="shared" si="54"/>
        <v>0</v>
      </c>
      <c r="I139" s="36">
        <f t="shared" si="55"/>
        <v>0</v>
      </c>
    </row>
    <row r="140" spans="1:15" s="31" customFormat="1" x14ac:dyDescent="0.3">
      <c r="A140" s="103"/>
      <c r="B140" s="294"/>
      <c r="C140" s="104"/>
      <c r="D140" s="104"/>
      <c r="E140" s="105"/>
      <c r="F140" s="36">
        <f t="shared" si="52"/>
        <v>0</v>
      </c>
      <c r="G140" s="36">
        <f t="shared" si="53"/>
        <v>0</v>
      </c>
      <c r="H140" s="36">
        <f t="shared" si="54"/>
        <v>0</v>
      </c>
      <c r="I140" s="36">
        <f t="shared" si="55"/>
        <v>0</v>
      </c>
    </row>
    <row r="141" spans="1:15" s="31" customFormat="1" x14ac:dyDescent="0.3">
      <c r="A141" s="103"/>
      <c r="B141" s="294"/>
      <c r="C141" s="104"/>
      <c r="D141" s="104"/>
      <c r="E141" s="105"/>
      <c r="F141" s="36">
        <f t="shared" si="52"/>
        <v>0</v>
      </c>
      <c r="G141" s="36">
        <f t="shared" si="53"/>
        <v>0</v>
      </c>
      <c r="H141" s="36">
        <f t="shared" si="54"/>
        <v>0</v>
      </c>
      <c r="I141" s="36">
        <f t="shared" si="55"/>
        <v>0</v>
      </c>
    </row>
    <row r="142" spans="1:15" s="31" customFormat="1" x14ac:dyDescent="0.3">
      <c r="A142" s="103"/>
      <c r="B142" s="294"/>
      <c r="C142" s="104"/>
      <c r="D142" s="104"/>
      <c r="E142" s="105"/>
      <c r="F142" s="36">
        <f t="shared" si="52"/>
        <v>0</v>
      </c>
      <c r="G142" s="36">
        <f t="shared" si="53"/>
        <v>0</v>
      </c>
      <c r="H142" s="36">
        <f t="shared" si="54"/>
        <v>0</v>
      </c>
      <c r="I142" s="36">
        <f t="shared" si="55"/>
        <v>0</v>
      </c>
    </row>
    <row r="143" spans="1:15" s="31" customFormat="1" x14ac:dyDescent="0.3">
      <c r="A143" s="103"/>
      <c r="B143" s="294"/>
      <c r="C143" s="104"/>
      <c r="D143" s="104"/>
      <c r="E143" s="105"/>
      <c r="F143" s="36">
        <f t="shared" si="52"/>
        <v>0</v>
      </c>
      <c r="G143" s="36">
        <f t="shared" si="53"/>
        <v>0</v>
      </c>
      <c r="H143" s="36">
        <f t="shared" si="54"/>
        <v>0</v>
      </c>
      <c r="I143" s="36">
        <f t="shared" si="55"/>
        <v>0</v>
      </c>
    </row>
    <row r="144" spans="1:15" s="31" customFormat="1" x14ac:dyDescent="0.3">
      <c r="A144" s="106"/>
      <c r="B144" s="296"/>
      <c r="C144" s="107"/>
      <c r="D144" s="107"/>
      <c r="E144" s="108"/>
      <c r="F144" s="36">
        <f t="shared" si="52"/>
        <v>0</v>
      </c>
      <c r="G144" s="36">
        <f t="shared" si="53"/>
        <v>0</v>
      </c>
      <c r="H144" s="36">
        <f t="shared" si="54"/>
        <v>0</v>
      </c>
      <c r="I144" s="36">
        <f t="shared" si="55"/>
        <v>0</v>
      </c>
      <c r="J144" s="56" t="s">
        <v>108</v>
      </c>
      <c r="K144" s="55" t="s">
        <v>109</v>
      </c>
    </row>
    <row r="145" spans="1:15" s="31" customFormat="1" x14ac:dyDescent="0.3">
      <c r="B145" s="99"/>
      <c r="D145" s="32"/>
      <c r="E145" s="36"/>
      <c r="F145" s="54">
        <f>SUM(F137:F144)</f>
        <v>0</v>
      </c>
      <c r="G145" s="54">
        <f>SUM(G137:G144)</f>
        <v>0</v>
      </c>
      <c r="H145" s="54">
        <f>SUM(H137:H144)</f>
        <v>0</v>
      </c>
      <c r="I145" s="54">
        <f>SUM(I137:I144)</f>
        <v>0</v>
      </c>
      <c r="J145" s="54">
        <f>F145</f>
        <v>0</v>
      </c>
      <c r="K145" s="34">
        <f>I145</f>
        <v>0</v>
      </c>
      <c r="L145" s="155">
        <f>IF(F145=0,0,(I145-F145)/F145)</f>
        <v>0</v>
      </c>
      <c r="M145" s="120">
        <f>SUM(I137:I144)-SUM(F137:F144)</f>
        <v>0</v>
      </c>
      <c r="N145" s="86"/>
    </row>
    <row r="146" spans="1:15" ht="15.6" x14ac:dyDescent="0.3">
      <c r="A146" s="261" t="str">
        <f>'Optional-3'!B368</f>
        <v>#14</v>
      </c>
      <c r="B146" s="293"/>
      <c r="C146" s="112"/>
      <c r="D146" s="113"/>
      <c r="E146" s="112"/>
      <c r="F146" s="112"/>
      <c r="G146" s="112"/>
      <c r="H146" s="112"/>
      <c r="I146" s="112"/>
      <c r="J146" s="112"/>
      <c r="K146" s="112"/>
      <c r="L146" s="112"/>
      <c r="M146" s="112"/>
      <c r="O146"/>
    </row>
    <row r="147" spans="1:15" s="31" customFormat="1" ht="27.6" x14ac:dyDescent="0.3">
      <c r="A147" s="47" t="s">
        <v>184</v>
      </c>
      <c r="B147" s="290" t="s">
        <v>185</v>
      </c>
      <c r="C147" s="74" t="s">
        <v>47</v>
      </c>
      <c r="D147" s="74" t="s">
        <v>186</v>
      </c>
      <c r="E147" s="75" t="s">
        <v>193</v>
      </c>
      <c r="F147" s="48" t="s">
        <v>22</v>
      </c>
      <c r="G147" s="49" t="s">
        <v>194</v>
      </c>
      <c r="H147" s="49" t="s">
        <v>23</v>
      </c>
      <c r="I147" s="50" t="s">
        <v>100</v>
      </c>
    </row>
    <row r="148" spans="1:15" s="31" customFormat="1" x14ac:dyDescent="0.3">
      <c r="A148" s="103"/>
      <c r="B148" s="294"/>
      <c r="C148" s="104"/>
      <c r="D148" s="104"/>
      <c r="E148" s="105"/>
      <c r="F148" s="36">
        <f t="shared" ref="F148:F155" si="56">C148*E148</f>
        <v>0</v>
      </c>
      <c r="G148" s="36">
        <f t="shared" ref="G148:G155" si="57">IF(A148="",0,E148*(1+VLOOKUP(A148,$O$5:$P$10,2,FALSE)))</f>
        <v>0</v>
      </c>
      <c r="H148" s="36">
        <f>C148*G148</f>
        <v>0</v>
      </c>
      <c r="I148" s="36">
        <f>IF(OR($P$16=0,$P$16=""),H148*1,H148*(1+$P$16))</f>
        <v>0</v>
      </c>
    </row>
    <row r="149" spans="1:15" s="31" customFormat="1" x14ac:dyDescent="0.3">
      <c r="A149" s="101"/>
      <c r="B149" s="294"/>
      <c r="C149" s="104"/>
      <c r="D149" s="104"/>
      <c r="E149" s="105"/>
      <c r="F149" s="36">
        <f t="shared" si="56"/>
        <v>0</v>
      </c>
      <c r="G149" s="36">
        <f t="shared" si="57"/>
        <v>0</v>
      </c>
      <c r="H149" s="36">
        <f t="shared" ref="H149:H155" si="58">C149*G149</f>
        <v>0</v>
      </c>
      <c r="I149" s="36">
        <f t="shared" ref="I149:I155" si="59">IF(OR($P$16=0,$P$16=""),H149*1,H149*(1+$P$16))</f>
        <v>0</v>
      </c>
    </row>
    <row r="150" spans="1:15" s="31" customFormat="1" x14ac:dyDescent="0.3">
      <c r="A150" s="101"/>
      <c r="B150" s="294"/>
      <c r="C150" s="104"/>
      <c r="D150" s="104"/>
      <c r="E150" s="105"/>
      <c r="F150" s="36">
        <f t="shared" si="56"/>
        <v>0</v>
      </c>
      <c r="G150" s="36">
        <f t="shared" si="57"/>
        <v>0</v>
      </c>
      <c r="H150" s="36">
        <f t="shared" si="58"/>
        <v>0</v>
      </c>
      <c r="I150" s="36">
        <f t="shared" si="59"/>
        <v>0</v>
      </c>
    </row>
    <row r="151" spans="1:15" s="31" customFormat="1" x14ac:dyDescent="0.3">
      <c r="A151" s="101"/>
      <c r="B151" s="294"/>
      <c r="C151" s="104"/>
      <c r="D151" s="104"/>
      <c r="E151" s="105"/>
      <c r="F151" s="36">
        <f t="shared" si="56"/>
        <v>0</v>
      </c>
      <c r="G151" s="36">
        <f t="shared" si="57"/>
        <v>0</v>
      </c>
      <c r="H151" s="36">
        <f t="shared" si="58"/>
        <v>0</v>
      </c>
      <c r="I151" s="36">
        <f t="shared" si="59"/>
        <v>0</v>
      </c>
    </row>
    <row r="152" spans="1:15" s="31" customFormat="1" x14ac:dyDescent="0.3">
      <c r="A152" s="103"/>
      <c r="B152" s="294"/>
      <c r="C152" s="104"/>
      <c r="D152" s="104"/>
      <c r="E152" s="105"/>
      <c r="F152" s="36">
        <f t="shared" si="56"/>
        <v>0</v>
      </c>
      <c r="G152" s="36">
        <f t="shared" si="57"/>
        <v>0</v>
      </c>
      <c r="H152" s="36">
        <f t="shared" si="58"/>
        <v>0</v>
      </c>
      <c r="I152" s="36">
        <f t="shared" si="59"/>
        <v>0</v>
      </c>
    </row>
    <row r="153" spans="1:15" s="31" customFormat="1" x14ac:dyDescent="0.3">
      <c r="A153" s="103"/>
      <c r="B153" s="294"/>
      <c r="C153" s="104"/>
      <c r="D153" s="104"/>
      <c r="E153" s="105"/>
      <c r="F153" s="36">
        <f t="shared" si="56"/>
        <v>0</v>
      </c>
      <c r="G153" s="36">
        <f t="shared" si="57"/>
        <v>0</v>
      </c>
      <c r="H153" s="36">
        <f t="shared" si="58"/>
        <v>0</v>
      </c>
      <c r="I153" s="36">
        <f t="shared" si="59"/>
        <v>0</v>
      </c>
    </row>
    <row r="154" spans="1:15" s="31" customFormat="1" x14ac:dyDescent="0.3">
      <c r="A154" s="103"/>
      <c r="B154" s="294"/>
      <c r="C154" s="104"/>
      <c r="D154" s="104"/>
      <c r="E154" s="105"/>
      <c r="F154" s="36">
        <f t="shared" si="56"/>
        <v>0</v>
      </c>
      <c r="G154" s="36">
        <f t="shared" si="57"/>
        <v>0</v>
      </c>
      <c r="H154" s="36">
        <f t="shared" si="58"/>
        <v>0</v>
      </c>
      <c r="I154" s="36">
        <f t="shared" si="59"/>
        <v>0</v>
      </c>
    </row>
    <row r="155" spans="1:15" s="31" customFormat="1" x14ac:dyDescent="0.3">
      <c r="A155" s="106"/>
      <c r="B155" s="296"/>
      <c r="C155" s="107"/>
      <c r="D155" s="107"/>
      <c r="E155" s="108"/>
      <c r="F155" s="36">
        <f t="shared" si="56"/>
        <v>0</v>
      </c>
      <c r="G155" s="36">
        <f t="shared" si="57"/>
        <v>0</v>
      </c>
      <c r="H155" s="36">
        <f t="shared" si="58"/>
        <v>0</v>
      </c>
      <c r="I155" s="36">
        <f t="shared" si="59"/>
        <v>0</v>
      </c>
      <c r="J155" s="56" t="s">
        <v>108</v>
      </c>
      <c r="K155" s="55" t="s">
        <v>109</v>
      </c>
    </row>
    <row r="156" spans="1:15" s="31" customFormat="1" x14ac:dyDescent="0.3">
      <c r="A156" s="110"/>
      <c r="B156" s="299"/>
      <c r="C156" s="110"/>
      <c r="D156" s="277"/>
      <c r="E156" s="278"/>
      <c r="F156" s="118">
        <f>SUM(F148:F155)</f>
        <v>0</v>
      </c>
      <c r="G156" s="118">
        <f>SUM(G148:G155)</f>
        <v>0</v>
      </c>
      <c r="H156" s="118">
        <f>SUM(H148:H155)</f>
        <v>0</v>
      </c>
      <c r="I156" s="118">
        <f>SUM(I148:I155)</f>
        <v>0</v>
      </c>
      <c r="J156" s="118">
        <f>F156</f>
        <v>0</v>
      </c>
      <c r="K156" s="279">
        <f>I156</f>
        <v>0</v>
      </c>
      <c r="L156" s="280">
        <f>IF(F156=0,0,(I156-F156)/F156)</f>
        <v>0</v>
      </c>
      <c r="M156" s="281">
        <f>SUM(I148:I155)-SUM(F148:F155)</f>
        <v>0</v>
      </c>
      <c r="N156" s="86"/>
    </row>
    <row r="159" spans="1:15" ht="13.2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</row>
    <row r="160" spans="1:15" ht="13.2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</row>
    <row r="161" customFormat="1" ht="13.2" x14ac:dyDescent="0.25"/>
    <row r="162" customFormat="1" ht="13.2" x14ac:dyDescent="0.25"/>
    <row r="163" customFormat="1" ht="13.2" x14ac:dyDescent="0.25"/>
    <row r="164" customFormat="1" ht="13.2" x14ac:dyDescent="0.25"/>
    <row r="165" customFormat="1" ht="13.2" x14ac:dyDescent="0.25"/>
    <row r="166" customFormat="1" ht="13.2" x14ac:dyDescent="0.25"/>
    <row r="167" customFormat="1" ht="13.2" x14ac:dyDescent="0.25"/>
    <row r="168" customFormat="1" ht="13.2" x14ac:dyDescent="0.25"/>
    <row r="169" customFormat="1" ht="13.2" x14ac:dyDescent="0.25"/>
    <row r="170" customFormat="1" ht="13.2" x14ac:dyDescent="0.25"/>
    <row r="171" customFormat="1" ht="13.2" x14ac:dyDescent="0.25"/>
    <row r="172" customFormat="1" ht="13.2" x14ac:dyDescent="0.25"/>
    <row r="173" customFormat="1" ht="13.2" x14ac:dyDescent="0.25"/>
    <row r="174" customFormat="1" ht="13.2" x14ac:dyDescent="0.25"/>
  </sheetData>
  <dataValidations count="1">
    <dataValidation type="list" allowBlank="1" showErrorMessage="1" promptTitle="Mark Up Type" prompt="Please select the type of mark up to be applied to this item." sqref="A49:A56 A60:A67 A71:A78 A137:A144 A16:A23 A27:A34 A38:A45 A5:A12 A82:A89 A93:A100 A104:A111 A115:A122 A126:A133 A148:A155" xr:uid="{00000000-0002-0000-0B00-000000000000}">
      <formula1>$O$5:$O$10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0" orientation="landscape" verticalDpi="0" r:id="rId1"/>
  <headerFooter>
    <oddHeader>&amp;C&amp;"Calibri,Bold"&amp;11&amp;UBudget Estimate Template&amp;R&amp;G</oddHeader>
    <oddFooter>&amp;L&amp;F - &amp;A&amp;CPage &amp;P of &amp;N&amp;R&amp;D</oddFooter>
  </headerFooter>
  <rowBreaks count="1" manualBreakCount="1">
    <brk id="46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7030A0"/>
    <pageSetUpPr fitToPage="1"/>
  </sheetPr>
  <dimension ref="A1:P45"/>
  <sheetViews>
    <sheetView zoomScale="85" zoomScaleNormal="85" workbookViewId="0">
      <selection activeCell="T6" sqref="T6"/>
    </sheetView>
  </sheetViews>
  <sheetFormatPr defaultColWidth="9.21875" defaultRowHeight="13.8" x14ac:dyDescent="0.3"/>
  <cols>
    <col min="1" max="1" width="16.5546875" style="89" customWidth="1"/>
    <col min="2" max="2" width="17.77734375" style="7" customWidth="1"/>
    <col min="3" max="3" width="11.21875" style="6" customWidth="1"/>
    <col min="4" max="4" width="9.21875" style="6"/>
    <col min="5" max="5" width="8.77734375" style="11" customWidth="1"/>
    <col min="6" max="6" width="12.44140625" style="9" customWidth="1"/>
    <col min="7" max="7" width="10" style="7" customWidth="1"/>
    <col min="8" max="8" width="11.21875" style="7" customWidth="1"/>
    <col min="9" max="9" width="12.44140625" style="9" customWidth="1"/>
    <col min="10" max="12" width="9.21875" style="7"/>
    <col min="13" max="13" width="9.77734375" style="7" customWidth="1"/>
    <col min="14" max="16384" width="9.21875" style="7"/>
  </cols>
  <sheetData>
    <row r="1" spans="1:16" ht="15.6" x14ac:dyDescent="0.3">
      <c r="B1" s="64" t="s">
        <v>220</v>
      </c>
    </row>
    <row r="2" spans="1:16" s="3" customFormat="1" x14ac:dyDescent="0.3">
      <c r="A2" s="87"/>
      <c r="B2" s="3" t="s">
        <v>185</v>
      </c>
      <c r="C2" s="3" t="s">
        <v>47</v>
      </c>
      <c r="D2" s="3" t="s">
        <v>186</v>
      </c>
      <c r="E2" s="4" t="s">
        <v>221</v>
      </c>
      <c r="F2" s="5"/>
      <c r="G2" s="359" t="s">
        <v>222</v>
      </c>
      <c r="H2" s="359"/>
      <c r="I2" s="5"/>
      <c r="K2" s="100"/>
      <c r="L2" s="100"/>
      <c r="M2" s="100" t="s">
        <v>223</v>
      </c>
      <c r="N2" s="100"/>
      <c r="O2" s="100"/>
      <c r="P2" s="100"/>
    </row>
    <row r="3" spans="1:16" s="3" customFormat="1" ht="15.6" x14ac:dyDescent="0.3">
      <c r="A3" s="87"/>
      <c r="B3" s="88" t="s">
        <v>29</v>
      </c>
      <c r="D3" s="3">
        <v>20</v>
      </c>
      <c r="E3" s="4"/>
      <c r="F3" s="5"/>
      <c r="G3" s="90" t="s">
        <v>224</v>
      </c>
      <c r="H3" s="90" t="s">
        <v>225</v>
      </c>
      <c r="I3" s="5"/>
      <c r="J3" s="91" t="s">
        <v>226</v>
      </c>
      <c r="K3" s="90" t="s">
        <v>149</v>
      </c>
      <c r="L3" s="90" t="s">
        <v>151</v>
      </c>
      <c r="M3" s="90" t="s">
        <v>227</v>
      </c>
      <c r="N3" s="90" t="s">
        <v>228</v>
      </c>
      <c r="O3" s="90" t="s">
        <v>229</v>
      </c>
      <c r="P3" s="90" t="s">
        <v>230</v>
      </c>
    </row>
    <row r="4" spans="1:16" ht="27" x14ac:dyDescent="0.3">
      <c r="B4" s="345" t="s">
        <v>146</v>
      </c>
      <c r="C4" s="78">
        <v>230</v>
      </c>
      <c r="D4" s="6" t="s">
        <v>231</v>
      </c>
      <c r="E4" s="7">
        <f>C4/H21</f>
        <v>12.777777777777779</v>
      </c>
      <c r="G4" s="90" t="s">
        <v>232</v>
      </c>
      <c r="H4" s="6">
        <v>40</v>
      </c>
      <c r="J4" s="90">
        <v>20</v>
      </c>
      <c r="K4" s="6">
        <v>0.1</v>
      </c>
      <c r="L4" s="6">
        <v>0.1</v>
      </c>
      <c r="M4" s="6">
        <v>0.1</v>
      </c>
      <c r="N4" s="6">
        <v>0.1</v>
      </c>
      <c r="O4" s="6">
        <v>0.1</v>
      </c>
      <c r="P4" s="6">
        <v>0.1</v>
      </c>
    </row>
    <row r="5" spans="1:16" ht="40.200000000000003" x14ac:dyDescent="0.3">
      <c r="B5" s="345" t="s">
        <v>148</v>
      </c>
      <c r="C5" s="78">
        <v>805</v>
      </c>
      <c r="D5" s="6" t="s">
        <v>231</v>
      </c>
      <c r="E5" s="7">
        <f>C5/H21</f>
        <v>44.722222222222221</v>
      </c>
      <c r="G5" s="90" t="s">
        <v>233</v>
      </c>
      <c r="H5" s="6">
        <v>40</v>
      </c>
      <c r="J5" s="90">
        <v>25</v>
      </c>
      <c r="K5" s="6">
        <v>0.2</v>
      </c>
      <c r="L5" s="6">
        <v>0.1</v>
      </c>
      <c r="M5" s="6">
        <v>0.1</v>
      </c>
      <c r="N5" s="6">
        <v>0.1</v>
      </c>
      <c r="O5" s="6">
        <v>0.2</v>
      </c>
      <c r="P5" s="6">
        <v>0.2</v>
      </c>
    </row>
    <row r="6" spans="1:16" ht="27" x14ac:dyDescent="0.3">
      <c r="B6" s="345" t="s">
        <v>150</v>
      </c>
      <c r="C6" s="78">
        <v>37.5</v>
      </c>
      <c r="D6" s="6" t="s">
        <v>231</v>
      </c>
      <c r="E6" s="7">
        <f>C6/H17</f>
        <v>0.78125</v>
      </c>
      <c r="G6" s="90" t="s">
        <v>234</v>
      </c>
      <c r="H6" s="6">
        <v>24</v>
      </c>
      <c r="J6" s="90">
        <v>32</v>
      </c>
      <c r="K6" s="6">
        <v>0.2</v>
      </c>
      <c r="L6" s="6">
        <v>0.2</v>
      </c>
      <c r="M6" s="6">
        <v>0.2</v>
      </c>
      <c r="N6" s="6">
        <v>0.2</v>
      </c>
      <c r="O6" s="6">
        <v>0.3</v>
      </c>
      <c r="P6" s="6">
        <v>0.3</v>
      </c>
    </row>
    <row r="7" spans="1:16" x14ac:dyDescent="0.3">
      <c r="B7" s="79"/>
      <c r="C7" s="78"/>
      <c r="D7" s="6" t="s">
        <v>231</v>
      </c>
      <c r="E7" s="7">
        <f>C7/H14</f>
        <v>0</v>
      </c>
      <c r="G7" s="90" t="s">
        <v>235</v>
      </c>
      <c r="H7" s="6">
        <v>20</v>
      </c>
      <c r="J7" s="90">
        <v>40</v>
      </c>
      <c r="K7" s="6">
        <v>0.2</v>
      </c>
      <c r="L7" s="6">
        <v>0.2</v>
      </c>
      <c r="M7" s="6">
        <v>0.3</v>
      </c>
      <c r="N7" s="6">
        <v>0.4</v>
      </c>
      <c r="O7" s="6">
        <v>0.4</v>
      </c>
      <c r="P7" s="6">
        <v>0.5</v>
      </c>
    </row>
    <row r="8" spans="1:16" x14ac:dyDescent="0.3">
      <c r="B8" s="79"/>
      <c r="C8" s="78"/>
      <c r="D8" s="6" t="s">
        <v>231</v>
      </c>
      <c r="E8" s="7">
        <f>C8/H14</f>
        <v>0</v>
      </c>
      <c r="G8" s="90">
        <v>110</v>
      </c>
      <c r="H8" s="6">
        <v>420</v>
      </c>
      <c r="J8" s="90">
        <v>50</v>
      </c>
      <c r="K8" s="6">
        <v>0.3</v>
      </c>
      <c r="L8" s="6">
        <v>0.4</v>
      </c>
      <c r="M8" s="6">
        <v>0.4</v>
      </c>
      <c r="N8" s="6">
        <v>0.5</v>
      </c>
      <c r="O8" s="6">
        <v>0.7</v>
      </c>
      <c r="P8" s="6">
        <v>0.8</v>
      </c>
    </row>
    <row r="9" spans="1:16" x14ac:dyDescent="0.3">
      <c r="B9" s="79"/>
      <c r="C9" s="78"/>
      <c r="D9" s="6" t="s">
        <v>231</v>
      </c>
      <c r="E9" s="7">
        <f>C9/H14</f>
        <v>0</v>
      </c>
      <c r="G9" s="90">
        <v>125</v>
      </c>
      <c r="H9" s="6">
        <v>300</v>
      </c>
      <c r="J9" s="90">
        <v>63</v>
      </c>
      <c r="K9" s="6">
        <v>0.5</v>
      </c>
      <c r="L9" s="6">
        <v>0.6</v>
      </c>
      <c r="M9" s="6">
        <v>0.7</v>
      </c>
      <c r="N9" s="6">
        <v>0.9</v>
      </c>
      <c r="O9" s="6">
        <v>1.1000000000000001</v>
      </c>
      <c r="P9" s="6">
        <v>1.3</v>
      </c>
    </row>
    <row r="10" spans="1:16" x14ac:dyDescent="0.3">
      <c r="B10" s="79"/>
      <c r="C10" s="78"/>
      <c r="D10" s="6" t="s">
        <v>231</v>
      </c>
      <c r="E10" s="7">
        <f>C10/H14</f>
        <v>0</v>
      </c>
      <c r="G10" s="90">
        <v>140</v>
      </c>
      <c r="H10" s="6">
        <v>200</v>
      </c>
      <c r="J10" s="90">
        <v>75</v>
      </c>
      <c r="K10" s="6">
        <v>0.7</v>
      </c>
      <c r="L10" s="6">
        <v>0.8</v>
      </c>
      <c r="M10" s="6">
        <v>1</v>
      </c>
      <c r="N10" s="6">
        <v>1.2</v>
      </c>
      <c r="O10" s="6">
        <v>1.5</v>
      </c>
      <c r="P10" s="6">
        <v>1.8</v>
      </c>
    </row>
    <row r="11" spans="1:16" ht="14.4" thickBot="1" x14ac:dyDescent="0.35">
      <c r="B11" s="79"/>
      <c r="C11" s="80"/>
      <c r="D11" s="10" t="s">
        <v>231</v>
      </c>
      <c r="E11" s="77">
        <f>C11/H14</f>
        <v>0</v>
      </c>
      <c r="G11" s="90">
        <v>160</v>
      </c>
      <c r="H11" s="6">
        <v>192</v>
      </c>
      <c r="J11" s="90">
        <v>90</v>
      </c>
      <c r="K11" s="6">
        <v>1</v>
      </c>
      <c r="L11" s="6">
        <v>1.2</v>
      </c>
      <c r="M11" s="6">
        <v>1.5</v>
      </c>
      <c r="N11" s="6">
        <v>1.7</v>
      </c>
      <c r="O11" s="6">
        <v>2.1</v>
      </c>
      <c r="P11" s="6">
        <v>2.6</v>
      </c>
    </row>
    <row r="12" spans="1:16" ht="14.4" thickTop="1" x14ac:dyDescent="0.3">
      <c r="C12" s="6">
        <f ca="1">SUM(C4:C12)</f>
        <v>3647572.5</v>
      </c>
      <c r="D12" s="6" t="s">
        <v>231</v>
      </c>
      <c r="E12" s="11">
        <f>SUM(E4:E11)</f>
        <v>58.28125</v>
      </c>
      <c r="G12" s="90">
        <v>200</v>
      </c>
      <c r="H12" s="6">
        <v>157</v>
      </c>
      <c r="J12" s="90">
        <v>110</v>
      </c>
      <c r="K12" s="6">
        <v>1.4</v>
      </c>
      <c r="L12" s="6">
        <v>1.8</v>
      </c>
      <c r="M12" s="6">
        <v>2.2000000000000002</v>
      </c>
      <c r="N12" s="6">
        <v>2.6</v>
      </c>
      <c r="O12" s="6">
        <v>3.2</v>
      </c>
      <c r="P12" s="6">
        <v>3.8</v>
      </c>
    </row>
    <row r="13" spans="1:16" x14ac:dyDescent="0.3">
      <c r="C13" s="92">
        <f ca="1">C12*20</f>
        <v>72951450</v>
      </c>
      <c r="D13" s="6" t="s">
        <v>55</v>
      </c>
      <c r="G13" s="90">
        <v>225</v>
      </c>
      <c r="H13" s="6">
        <v>114</v>
      </c>
      <c r="J13" s="90">
        <v>125</v>
      </c>
      <c r="K13" s="6">
        <v>1.9</v>
      </c>
      <c r="L13" s="6">
        <v>2.2999999999999998</v>
      </c>
      <c r="M13" s="6">
        <v>2.8</v>
      </c>
      <c r="N13" s="6">
        <v>3.4</v>
      </c>
      <c r="O13" s="6">
        <v>4.0999999999999996</v>
      </c>
      <c r="P13" s="6">
        <v>4.9000000000000004</v>
      </c>
    </row>
    <row r="14" spans="1:16" x14ac:dyDescent="0.3">
      <c r="E14" s="12"/>
      <c r="G14" s="90">
        <v>250</v>
      </c>
      <c r="H14" s="6">
        <v>99</v>
      </c>
      <c r="J14" s="90">
        <v>140</v>
      </c>
      <c r="K14" s="6">
        <v>2.2999999999999998</v>
      </c>
      <c r="L14" s="6">
        <v>2.8</v>
      </c>
      <c r="M14" s="6">
        <v>3.5</v>
      </c>
      <c r="N14" s="6">
        <v>4.2</v>
      </c>
      <c r="O14" s="6">
        <v>5.0999999999999996</v>
      </c>
      <c r="P14" s="6">
        <v>6.2</v>
      </c>
    </row>
    <row r="15" spans="1:16" ht="15.6" x14ac:dyDescent="0.3">
      <c r="B15" s="88" t="s">
        <v>164</v>
      </c>
      <c r="D15" s="6">
        <v>20</v>
      </c>
      <c r="G15" s="90">
        <v>280</v>
      </c>
      <c r="H15" s="6">
        <v>80</v>
      </c>
      <c r="J15" s="90">
        <v>160</v>
      </c>
      <c r="K15" s="6">
        <v>3</v>
      </c>
      <c r="L15" s="6">
        <v>3.7</v>
      </c>
      <c r="M15" s="6">
        <v>4.5</v>
      </c>
      <c r="N15" s="6">
        <v>5.5</v>
      </c>
      <c r="O15" s="6">
        <v>6.7</v>
      </c>
      <c r="P15" s="6">
        <v>8</v>
      </c>
    </row>
    <row r="16" spans="1:16" x14ac:dyDescent="0.3">
      <c r="B16" s="79"/>
      <c r="C16" s="78"/>
      <c r="D16" s="6" t="s">
        <v>231</v>
      </c>
      <c r="E16" s="8">
        <v>0</v>
      </c>
      <c r="G16" s="90">
        <v>315</v>
      </c>
      <c r="H16" s="6">
        <v>62</v>
      </c>
      <c r="J16" s="90">
        <v>180</v>
      </c>
      <c r="K16" s="6">
        <v>3.8</v>
      </c>
      <c r="L16" s="6">
        <v>4.7</v>
      </c>
      <c r="M16" s="6">
        <v>5.7</v>
      </c>
      <c r="N16" s="6">
        <v>7</v>
      </c>
      <c r="O16" s="6">
        <v>8.5</v>
      </c>
      <c r="P16" s="6">
        <v>10.1</v>
      </c>
    </row>
    <row r="17" spans="2:16" x14ac:dyDescent="0.3">
      <c r="B17" s="79"/>
      <c r="C17" s="78"/>
      <c r="D17" s="6" t="s">
        <v>231</v>
      </c>
      <c r="E17" s="8">
        <v>0</v>
      </c>
      <c r="G17" s="90">
        <v>355</v>
      </c>
      <c r="H17" s="6">
        <v>48</v>
      </c>
      <c r="J17" s="90">
        <v>200</v>
      </c>
      <c r="K17" s="6">
        <v>4.7</v>
      </c>
      <c r="L17" s="6">
        <v>5.8</v>
      </c>
      <c r="M17" s="6">
        <v>7.1</v>
      </c>
      <c r="N17" s="6">
        <v>8.6</v>
      </c>
      <c r="O17" s="6">
        <v>10.4</v>
      </c>
      <c r="P17" s="6">
        <v>12.5</v>
      </c>
    </row>
    <row r="18" spans="2:16" x14ac:dyDescent="0.3">
      <c r="B18" s="79"/>
      <c r="C18" s="78"/>
      <c r="D18" s="6" t="s">
        <v>231</v>
      </c>
      <c r="E18" s="8">
        <v>0</v>
      </c>
      <c r="G18" s="90">
        <v>400</v>
      </c>
      <c r="H18" s="6">
        <v>37</v>
      </c>
      <c r="J18" s="90">
        <v>225</v>
      </c>
      <c r="K18" s="6">
        <v>6</v>
      </c>
      <c r="L18" s="6">
        <v>7.3</v>
      </c>
      <c r="M18" s="6">
        <v>9</v>
      </c>
      <c r="N18" s="6">
        <v>10.9</v>
      </c>
      <c r="O18" s="6">
        <v>13.2</v>
      </c>
      <c r="P18" s="6">
        <v>15.8</v>
      </c>
    </row>
    <row r="19" spans="2:16" x14ac:dyDescent="0.3">
      <c r="B19" s="79"/>
      <c r="C19" s="78"/>
      <c r="D19" s="6" t="s">
        <v>231</v>
      </c>
      <c r="E19" s="8">
        <f>C19/H14</f>
        <v>0</v>
      </c>
      <c r="G19" s="90">
        <v>450</v>
      </c>
      <c r="H19" s="6">
        <v>27</v>
      </c>
      <c r="J19" s="90">
        <v>250</v>
      </c>
      <c r="K19" s="6">
        <v>7.3</v>
      </c>
      <c r="L19" s="6">
        <v>9</v>
      </c>
      <c r="M19" s="6">
        <v>11</v>
      </c>
      <c r="N19" s="6">
        <v>13.5</v>
      </c>
      <c r="O19" s="6">
        <v>16.3</v>
      </c>
      <c r="P19" s="6">
        <v>19.5</v>
      </c>
    </row>
    <row r="20" spans="2:16" x14ac:dyDescent="0.3">
      <c r="B20" s="79"/>
      <c r="C20" s="78"/>
      <c r="D20" s="6" t="s">
        <v>231</v>
      </c>
      <c r="E20" s="8">
        <f>C20/H14</f>
        <v>0</v>
      </c>
      <c r="G20" s="90">
        <v>500</v>
      </c>
      <c r="H20" s="6">
        <v>24</v>
      </c>
      <c r="J20" s="90">
        <v>280</v>
      </c>
      <c r="K20" s="6">
        <v>9.1999999999999993</v>
      </c>
      <c r="L20" s="6">
        <v>11.3</v>
      </c>
      <c r="M20" s="6">
        <v>13.8</v>
      </c>
      <c r="N20" s="6">
        <v>16.899999999999999</v>
      </c>
      <c r="O20" s="6">
        <v>20.399999999999999</v>
      </c>
      <c r="P20" s="6">
        <v>24.5</v>
      </c>
    </row>
    <row r="21" spans="2:16" x14ac:dyDescent="0.3">
      <c r="B21" s="79"/>
      <c r="C21" s="78"/>
      <c r="D21" s="6" t="s">
        <v>231</v>
      </c>
      <c r="E21" s="8">
        <f>C21/H14</f>
        <v>0</v>
      </c>
      <c r="G21" s="90">
        <v>560</v>
      </c>
      <c r="H21" s="6">
        <v>18</v>
      </c>
      <c r="J21" s="90">
        <v>315</v>
      </c>
      <c r="K21" s="6">
        <v>11.6</v>
      </c>
      <c r="L21" s="6">
        <v>14.2</v>
      </c>
      <c r="M21" s="6">
        <v>17.5</v>
      </c>
      <c r="N21" s="6">
        <v>21.4</v>
      </c>
      <c r="O21" s="6">
        <v>25.8</v>
      </c>
      <c r="P21" s="6">
        <v>31</v>
      </c>
    </row>
    <row r="22" spans="2:16" x14ac:dyDescent="0.3">
      <c r="B22" s="79"/>
      <c r="C22" s="78"/>
      <c r="D22" s="6" t="s">
        <v>231</v>
      </c>
      <c r="E22" s="7">
        <f>C22/H18</f>
        <v>0</v>
      </c>
      <c r="G22" s="90">
        <v>630</v>
      </c>
      <c r="H22" s="6">
        <v>15</v>
      </c>
      <c r="J22" s="90">
        <v>355</v>
      </c>
      <c r="K22" s="6">
        <v>14.7</v>
      </c>
      <c r="L22" s="6">
        <v>18.100000000000001</v>
      </c>
      <c r="M22" s="6">
        <v>22.3</v>
      </c>
      <c r="N22" s="6">
        <v>27.1</v>
      </c>
      <c r="O22" s="6">
        <v>32.799999999999997</v>
      </c>
      <c r="P22" s="6">
        <v>39.299999999999997</v>
      </c>
    </row>
    <row r="23" spans="2:16" ht="14.4" thickBot="1" x14ac:dyDescent="0.35">
      <c r="B23" s="79"/>
      <c r="C23" s="80"/>
      <c r="D23" s="10" t="s">
        <v>231</v>
      </c>
      <c r="E23" s="77">
        <f>C23/H14</f>
        <v>0</v>
      </c>
      <c r="G23" s="90">
        <v>710</v>
      </c>
      <c r="H23" s="6">
        <v>11</v>
      </c>
      <c r="J23" s="90">
        <v>400</v>
      </c>
      <c r="K23" s="6">
        <v>18.7</v>
      </c>
      <c r="L23" s="6">
        <v>23</v>
      </c>
      <c r="M23" s="6">
        <v>28.2</v>
      </c>
      <c r="N23" s="6">
        <v>34.4</v>
      </c>
      <c r="O23" s="6">
        <v>41.6</v>
      </c>
      <c r="P23" s="6">
        <v>49.9</v>
      </c>
    </row>
    <row r="24" spans="2:16" ht="14.4" thickTop="1" x14ac:dyDescent="0.3">
      <c r="C24" s="6">
        <f>SUM(C16:C23)</f>
        <v>0</v>
      </c>
      <c r="D24" s="6" t="s">
        <v>231</v>
      </c>
      <c r="E24" s="11">
        <f>SUM(E16:E23)</f>
        <v>0</v>
      </c>
      <c r="G24" s="90">
        <v>800</v>
      </c>
      <c r="H24" s="6">
        <v>9</v>
      </c>
      <c r="J24" s="90">
        <v>450</v>
      </c>
      <c r="K24" s="6">
        <v>23.7</v>
      </c>
      <c r="L24" s="6">
        <v>29.1</v>
      </c>
      <c r="M24" s="6">
        <v>35.700000000000003</v>
      </c>
      <c r="N24" s="6">
        <v>43.5</v>
      </c>
      <c r="O24" s="6">
        <v>52.7</v>
      </c>
      <c r="P24" s="6">
        <v>63.2</v>
      </c>
    </row>
    <row r="25" spans="2:16" x14ac:dyDescent="0.3">
      <c r="C25" s="92">
        <f>C24*D15</f>
        <v>0</v>
      </c>
      <c r="D25" s="6" t="s">
        <v>55</v>
      </c>
      <c r="G25" s="90">
        <v>1000</v>
      </c>
      <c r="H25" s="6">
        <v>5</v>
      </c>
      <c r="J25" s="90">
        <v>500</v>
      </c>
      <c r="K25" s="6">
        <v>29.1</v>
      </c>
      <c r="L25" s="6">
        <v>35.9</v>
      </c>
      <c r="M25" s="6">
        <v>43.9</v>
      </c>
      <c r="N25" s="6">
        <v>53.7</v>
      </c>
      <c r="O25" s="6">
        <v>65</v>
      </c>
      <c r="P25" s="6">
        <v>77.900000000000006</v>
      </c>
    </row>
    <row r="26" spans="2:16" x14ac:dyDescent="0.3">
      <c r="G26" s="90">
        <v>1200</v>
      </c>
      <c r="H26" s="6">
        <v>4</v>
      </c>
      <c r="J26" s="90">
        <v>560</v>
      </c>
      <c r="K26" s="6">
        <v>36.6</v>
      </c>
      <c r="L26" s="6">
        <v>45</v>
      </c>
      <c r="M26" s="6">
        <v>55.2</v>
      </c>
      <c r="N26" s="6">
        <v>67.400000000000006</v>
      </c>
      <c r="O26" s="6">
        <v>81.400000000000006</v>
      </c>
    </row>
    <row r="27" spans="2:16" ht="15.6" x14ac:dyDescent="0.3">
      <c r="B27" s="88" t="s">
        <v>178</v>
      </c>
      <c r="D27" s="6">
        <v>20</v>
      </c>
      <c r="J27" s="90">
        <v>630</v>
      </c>
      <c r="K27" s="6">
        <v>46.2</v>
      </c>
      <c r="L27" s="6">
        <v>56.8</v>
      </c>
      <c r="M27" s="6">
        <v>69.8</v>
      </c>
      <c r="N27" s="6">
        <v>85.5</v>
      </c>
      <c r="O27" s="6">
        <v>103.2</v>
      </c>
    </row>
    <row r="28" spans="2:16" x14ac:dyDescent="0.3">
      <c r="B28" s="79"/>
      <c r="C28" s="81"/>
      <c r="D28" s="6" t="s">
        <v>231</v>
      </c>
      <c r="E28" s="8">
        <f>C28/H14</f>
        <v>0</v>
      </c>
      <c r="J28" s="90">
        <v>710</v>
      </c>
      <c r="K28" s="6">
        <v>58.6</v>
      </c>
      <c r="L28" s="6">
        <v>72.3</v>
      </c>
      <c r="M28" s="6">
        <v>88.7</v>
      </c>
      <c r="N28" s="6">
        <v>108.2</v>
      </c>
    </row>
    <row r="29" spans="2:16" x14ac:dyDescent="0.3">
      <c r="B29" s="79"/>
      <c r="C29" s="81"/>
      <c r="D29" s="6" t="s">
        <v>231</v>
      </c>
      <c r="E29" s="8">
        <f>C29/H14</f>
        <v>0</v>
      </c>
      <c r="J29" s="90">
        <v>800</v>
      </c>
      <c r="K29" s="6">
        <v>74.599999999999994</v>
      </c>
      <c r="L29" s="6">
        <v>91.7</v>
      </c>
      <c r="M29" s="6">
        <v>112.5</v>
      </c>
      <c r="N29" s="6">
        <v>137.30000000000001</v>
      </c>
    </row>
    <row r="30" spans="2:16" x14ac:dyDescent="0.3">
      <c r="B30" s="79"/>
      <c r="C30" s="78"/>
      <c r="D30" s="6" t="s">
        <v>231</v>
      </c>
      <c r="E30" s="8">
        <f>C30/H14</f>
        <v>0</v>
      </c>
      <c r="J30" s="90">
        <v>1000</v>
      </c>
      <c r="K30" s="6">
        <v>116.2</v>
      </c>
      <c r="L30" s="6">
        <v>136.80000000000001</v>
      </c>
      <c r="M30" s="6">
        <v>169.5</v>
      </c>
    </row>
    <row r="31" spans="2:16" x14ac:dyDescent="0.3">
      <c r="B31" s="79"/>
      <c r="C31" s="78"/>
      <c r="D31" s="6" t="s">
        <v>231</v>
      </c>
      <c r="E31" s="8">
        <f>C31/H14</f>
        <v>0</v>
      </c>
      <c r="J31" s="90">
        <v>1200</v>
      </c>
      <c r="K31" s="6">
        <v>167.67</v>
      </c>
      <c r="L31" s="6">
        <v>205.46</v>
      </c>
      <c r="M31" s="6"/>
    </row>
    <row r="32" spans="2:16" x14ac:dyDescent="0.3">
      <c r="B32" s="79"/>
      <c r="C32" s="78"/>
      <c r="D32" s="6" t="s">
        <v>231</v>
      </c>
      <c r="E32" s="8">
        <f>C32/H14</f>
        <v>0</v>
      </c>
    </row>
    <row r="33" spans="2:10" x14ac:dyDescent="0.3">
      <c r="B33" s="79"/>
      <c r="C33" s="78"/>
      <c r="D33" s="6" t="s">
        <v>231</v>
      </c>
      <c r="E33" s="8">
        <f>C33/H14</f>
        <v>0</v>
      </c>
    </row>
    <row r="34" spans="2:10" x14ac:dyDescent="0.3">
      <c r="B34" s="79"/>
      <c r="C34" s="78"/>
      <c r="D34" s="6" t="s">
        <v>231</v>
      </c>
      <c r="E34" s="8">
        <f>C34/H14</f>
        <v>0</v>
      </c>
      <c r="J34" s="50"/>
    </row>
    <row r="35" spans="2:10" ht="14.4" thickBot="1" x14ac:dyDescent="0.35">
      <c r="B35" s="79"/>
      <c r="C35" s="80"/>
      <c r="D35" s="10" t="s">
        <v>231</v>
      </c>
      <c r="E35" s="13">
        <f>C35/H14</f>
        <v>0</v>
      </c>
    </row>
    <row r="36" spans="2:10" ht="14.4" thickTop="1" x14ac:dyDescent="0.3">
      <c r="C36" s="6">
        <f>SUM(C28:C35)</f>
        <v>0</v>
      </c>
      <c r="D36" s="6" t="s">
        <v>231</v>
      </c>
      <c r="E36" s="297">
        <f>SUM(E28:E35)</f>
        <v>0</v>
      </c>
    </row>
    <row r="37" spans="2:10" x14ac:dyDescent="0.3">
      <c r="C37" s="92">
        <f>C36*D27</f>
        <v>0</v>
      </c>
      <c r="D37" s="6" t="s">
        <v>55</v>
      </c>
    </row>
    <row r="38" spans="2:10" ht="14.4" thickBot="1" x14ac:dyDescent="0.35">
      <c r="E38" s="82"/>
    </row>
    <row r="39" spans="2:10" ht="14.4" thickTop="1" x14ac:dyDescent="0.3">
      <c r="B39" s="7" t="s">
        <v>32</v>
      </c>
      <c r="E39" s="4">
        <f>E12+E24+E36</f>
        <v>58.28125</v>
      </c>
    </row>
    <row r="41" spans="2:10" x14ac:dyDescent="0.3">
      <c r="B41" s="7" t="s">
        <v>236</v>
      </c>
      <c r="C41" s="84">
        <v>0.1</v>
      </c>
      <c r="E41" s="83">
        <f>ROUNDUP(E39*(1+C41),0)</f>
        <v>65</v>
      </c>
      <c r="I41" s="49"/>
    </row>
    <row r="44" spans="2:10" x14ac:dyDescent="0.3">
      <c r="E44" s="12"/>
    </row>
    <row r="45" spans="2:10" x14ac:dyDescent="0.3">
      <c r="B45" s="76"/>
      <c r="C45" s="74"/>
      <c r="D45" s="74"/>
      <c r="E45" s="75"/>
      <c r="F45" s="48"/>
    </row>
  </sheetData>
  <mergeCells count="1">
    <mergeCell ref="G2:H2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0" r:id="rId1"/>
  <headerFooter>
    <oddHeader>&amp;C&amp;"Calibri,Bold"&amp;11&amp;UBudget Estimate Template&amp;R&amp;G</oddHeader>
    <oddFooter>&amp;L&amp;F - &amp;A&amp;CPage &amp;P of &amp;N&amp;R&amp;D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70C0"/>
    <pageSetUpPr fitToPage="1"/>
  </sheetPr>
  <dimension ref="A1:J72"/>
  <sheetViews>
    <sheetView topLeftCell="C22" zoomScaleNormal="100" workbookViewId="0">
      <selection activeCell="L34" sqref="L34"/>
    </sheetView>
  </sheetViews>
  <sheetFormatPr defaultColWidth="9.21875" defaultRowHeight="13.8" x14ac:dyDescent="0.3"/>
  <cols>
    <col min="1" max="1" width="14.21875" style="31" bestFit="1" customWidth="1"/>
    <col min="2" max="2" width="19.21875" style="31" bestFit="1" customWidth="1"/>
    <col min="3" max="4" width="11.21875" style="177" bestFit="1" customWidth="1"/>
    <col min="5" max="5" width="9.21875" style="31"/>
    <col min="6" max="6" width="21.77734375" style="31" bestFit="1" customWidth="1"/>
    <col min="7" max="7" width="99.21875" style="31" bestFit="1" customWidth="1"/>
    <col min="8" max="9" width="11.21875" style="177" bestFit="1" customWidth="1"/>
    <col min="10" max="10" width="14.21875" style="31" customWidth="1"/>
    <col min="11" max="16384" width="9.21875" style="31"/>
  </cols>
  <sheetData>
    <row r="1" spans="1:10" s="32" customFormat="1" x14ac:dyDescent="0.3">
      <c r="A1" s="32" t="s">
        <v>237</v>
      </c>
      <c r="B1" s="32" t="s">
        <v>238</v>
      </c>
      <c r="C1" s="177" t="s">
        <v>108</v>
      </c>
      <c r="D1" s="177" t="s">
        <v>109</v>
      </c>
      <c r="F1" s="32" t="s">
        <v>237</v>
      </c>
      <c r="G1" s="32" t="s">
        <v>238</v>
      </c>
      <c r="H1" s="177" t="s">
        <v>108</v>
      </c>
      <c r="I1" s="177" t="s">
        <v>109</v>
      </c>
    </row>
    <row r="2" spans="1:10" x14ac:dyDescent="0.3">
      <c r="A2" s="31" t="s">
        <v>136</v>
      </c>
      <c r="B2" s="31" t="s">
        <v>239</v>
      </c>
      <c r="C2" s="177">
        <v>60</v>
      </c>
      <c r="D2" s="177">
        <f>C2*1.4</f>
        <v>84</v>
      </c>
      <c r="F2" s="31" t="s">
        <v>210</v>
      </c>
      <c r="G2" s="31" t="s">
        <v>240</v>
      </c>
      <c r="H2" s="177">
        <v>25</v>
      </c>
      <c r="I2" s="177">
        <f>H2*1.8</f>
        <v>45</v>
      </c>
    </row>
    <row r="3" spans="1:10" x14ac:dyDescent="0.3">
      <c r="A3" s="31" t="s">
        <v>241</v>
      </c>
      <c r="B3" s="31" t="s">
        <v>242</v>
      </c>
      <c r="C3" s="177">
        <v>90</v>
      </c>
      <c r="D3" s="177">
        <f t="shared" ref="D3:D21" si="0">C3*1.4</f>
        <v>125.99999999999999</v>
      </c>
      <c r="F3" s="157" t="s">
        <v>138</v>
      </c>
      <c r="G3" s="157" t="s">
        <v>243</v>
      </c>
      <c r="H3" s="340">
        <v>204</v>
      </c>
      <c r="I3" s="340">
        <f>H3*1.4</f>
        <v>285.59999999999997</v>
      </c>
      <c r="J3" s="342" t="s">
        <v>244</v>
      </c>
    </row>
    <row r="4" spans="1:10" x14ac:dyDescent="0.3">
      <c r="A4" s="31" t="s">
        <v>245</v>
      </c>
      <c r="B4" s="31" t="s">
        <v>246</v>
      </c>
      <c r="C4" s="177">
        <v>95</v>
      </c>
      <c r="D4" s="177">
        <f t="shared" si="0"/>
        <v>133</v>
      </c>
      <c r="F4" s="157" t="s">
        <v>117</v>
      </c>
      <c r="G4" s="157" t="s">
        <v>247</v>
      </c>
      <c r="H4" s="340">
        <v>30</v>
      </c>
      <c r="I4" s="340">
        <f>H4*1.8</f>
        <v>54</v>
      </c>
    </row>
    <row r="5" spans="1:10" x14ac:dyDescent="0.3">
      <c r="A5" s="31" t="s">
        <v>248</v>
      </c>
      <c r="B5" s="31" t="s">
        <v>249</v>
      </c>
      <c r="C5" s="177">
        <v>120</v>
      </c>
      <c r="D5" s="177">
        <f t="shared" si="0"/>
        <v>168</v>
      </c>
      <c r="F5" s="31" t="s">
        <v>250</v>
      </c>
      <c r="G5" s="31" t="s">
        <v>251</v>
      </c>
      <c r="H5" s="341">
        <v>120</v>
      </c>
      <c r="I5" s="341">
        <f t="shared" ref="I5:I34" si="1">H5*1.8</f>
        <v>216</v>
      </c>
    </row>
    <row r="6" spans="1:10" x14ac:dyDescent="0.3">
      <c r="A6" s="31" t="s">
        <v>252</v>
      </c>
      <c r="B6" s="31" t="s">
        <v>253</v>
      </c>
      <c r="C6" s="177">
        <v>90</v>
      </c>
      <c r="D6" s="177">
        <f t="shared" si="0"/>
        <v>125.99999999999999</v>
      </c>
      <c r="F6" s="31" t="s">
        <v>254</v>
      </c>
      <c r="G6" s="31" t="s">
        <v>255</v>
      </c>
      <c r="H6" s="341">
        <v>150</v>
      </c>
      <c r="I6" s="341">
        <f t="shared" si="1"/>
        <v>270</v>
      </c>
    </row>
    <row r="7" spans="1:10" x14ac:dyDescent="0.3">
      <c r="A7" s="31" t="s">
        <v>256</v>
      </c>
      <c r="B7" s="31" t="s">
        <v>257</v>
      </c>
      <c r="C7" s="177">
        <v>95</v>
      </c>
      <c r="D7" s="177">
        <f t="shared" si="0"/>
        <v>133</v>
      </c>
      <c r="F7" s="31" t="s">
        <v>258</v>
      </c>
      <c r="G7" s="31" t="s">
        <v>259</v>
      </c>
      <c r="H7" s="341">
        <v>100</v>
      </c>
      <c r="I7" s="341">
        <f t="shared" si="1"/>
        <v>180</v>
      </c>
    </row>
    <row r="8" spans="1:10" x14ac:dyDescent="0.3">
      <c r="A8" s="31" t="s">
        <v>260</v>
      </c>
      <c r="B8" s="31" t="s">
        <v>261</v>
      </c>
      <c r="C8" s="177">
        <v>100</v>
      </c>
      <c r="D8" s="177">
        <f t="shared" si="0"/>
        <v>140</v>
      </c>
      <c r="F8" s="31" t="s">
        <v>262</v>
      </c>
      <c r="G8" s="31" t="s">
        <v>263</v>
      </c>
      <c r="H8" s="341">
        <v>50</v>
      </c>
      <c r="I8" s="341">
        <f t="shared" si="1"/>
        <v>90</v>
      </c>
    </row>
    <row r="9" spans="1:10" x14ac:dyDescent="0.3">
      <c r="A9" s="31" t="s">
        <v>105</v>
      </c>
      <c r="B9" s="31" t="s">
        <v>264</v>
      </c>
      <c r="C9" s="177">
        <v>90</v>
      </c>
      <c r="D9" s="177">
        <f t="shared" si="0"/>
        <v>125.99999999999999</v>
      </c>
      <c r="F9" s="157" t="s">
        <v>113</v>
      </c>
      <c r="G9" s="157" t="s">
        <v>265</v>
      </c>
      <c r="H9" s="340">
        <v>35</v>
      </c>
      <c r="I9" s="340">
        <f t="shared" si="1"/>
        <v>63</v>
      </c>
    </row>
    <row r="10" spans="1:10" x14ac:dyDescent="0.3">
      <c r="A10" s="31" t="s">
        <v>266</v>
      </c>
      <c r="B10" s="31" t="s">
        <v>267</v>
      </c>
      <c r="C10" s="177">
        <v>130</v>
      </c>
      <c r="D10" s="177">
        <f t="shared" si="0"/>
        <v>182</v>
      </c>
      <c r="F10" s="157" t="s">
        <v>268</v>
      </c>
      <c r="G10" s="157" t="s">
        <v>269</v>
      </c>
      <c r="H10" s="340">
        <v>50</v>
      </c>
      <c r="I10" s="340">
        <f t="shared" si="1"/>
        <v>90</v>
      </c>
    </row>
    <row r="11" spans="1:10" x14ac:dyDescent="0.3">
      <c r="A11" s="31" t="s">
        <v>270</v>
      </c>
      <c r="B11" s="31" t="s">
        <v>271</v>
      </c>
      <c r="C11" s="177">
        <v>90</v>
      </c>
      <c r="D11" s="177">
        <f>C11*1.4</f>
        <v>125.99999999999999</v>
      </c>
      <c r="F11" s="157" t="s">
        <v>272</v>
      </c>
      <c r="G11" s="157" t="s">
        <v>273</v>
      </c>
      <c r="H11" s="340">
        <v>65</v>
      </c>
      <c r="I11" s="340">
        <f t="shared" si="1"/>
        <v>117</v>
      </c>
    </row>
    <row r="12" spans="1:10" x14ac:dyDescent="0.3">
      <c r="A12" s="31" t="s">
        <v>274</v>
      </c>
      <c r="B12" s="31" t="s">
        <v>275</v>
      </c>
      <c r="C12" s="177">
        <v>90</v>
      </c>
      <c r="D12" s="177">
        <f t="shared" si="0"/>
        <v>125.99999999999999</v>
      </c>
      <c r="F12" s="157" t="s">
        <v>118</v>
      </c>
      <c r="G12" s="157" t="s">
        <v>276</v>
      </c>
      <c r="H12" s="340">
        <v>25</v>
      </c>
      <c r="I12" s="340">
        <f t="shared" si="1"/>
        <v>45</v>
      </c>
    </row>
    <row r="13" spans="1:10" x14ac:dyDescent="0.3">
      <c r="A13" s="31" t="s">
        <v>277</v>
      </c>
      <c r="B13" s="31" t="s">
        <v>278</v>
      </c>
      <c r="C13" s="177">
        <v>90</v>
      </c>
      <c r="D13" s="177">
        <f t="shared" si="0"/>
        <v>125.99999999999999</v>
      </c>
      <c r="F13" s="157" t="s">
        <v>279</v>
      </c>
      <c r="G13" s="157" t="s">
        <v>280</v>
      </c>
      <c r="H13" s="340">
        <v>30</v>
      </c>
      <c r="I13" s="340">
        <f t="shared" si="1"/>
        <v>54</v>
      </c>
    </row>
    <row r="14" spans="1:10" x14ac:dyDescent="0.3">
      <c r="A14" s="31" t="s">
        <v>137</v>
      </c>
      <c r="B14" s="31" t="s">
        <v>281</v>
      </c>
      <c r="C14" s="177">
        <v>118</v>
      </c>
      <c r="D14" s="177">
        <f t="shared" si="0"/>
        <v>165.2</v>
      </c>
      <c r="F14" s="31" t="s">
        <v>282</v>
      </c>
      <c r="G14" s="31" t="s">
        <v>283</v>
      </c>
      <c r="H14" s="341">
        <v>10</v>
      </c>
      <c r="I14" s="341">
        <f t="shared" si="1"/>
        <v>18</v>
      </c>
    </row>
    <row r="15" spans="1:10" x14ac:dyDescent="0.3">
      <c r="A15" s="31" t="s">
        <v>103</v>
      </c>
      <c r="B15" s="31" t="s">
        <v>104</v>
      </c>
      <c r="C15" s="177">
        <v>90</v>
      </c>
      <c r="D15" s="177">
        <f t="shared" si="0"/>
        <v>125.99999999999999</v>
      </c>
      <c r="F15" s="31" t="s">
        <v>284</v>
      </c>
      <c r="G15" s="31" t="s">
        <v>285</v>
      </c>
      <c r="H15" s="341">
        <v>20</v>
      </c>
      <c r="I15" s="341">
        <f t="shared" si="1"/>
        <v>36</v>
      </c>
    </row>
    <row r="16" spans="1:10" x14ac:dyDescent="0.3">
      <c r="A16" s="31" t="s">
        <v>102</v>
      </c>
      <c r="B16" s="31" t="s">
        <v>286</v>
      </c>
      <c r="C16" s="177">
        <v>100</v>
      </c>
      <c r="D16" s="177">
        <f t="shared" si="0"/>
        <v>140</v>
      </c>
      <c r="F16" s="31" t="s">
        <v>287</v>
      </c>
      <c r="G16" s="31" t="s">
        <v>288</v>
      </c>
      <c r="H16" s="341">
        <v>50</v>
      </c>
      <c r="I16" s="341">
        <f t="shared" si="1"/>
        <v>90</v>
      </c>
    </row>
    <row r="17" spans="1:9" x14ac:dyDescent="0.3">
      <c r="A17" s="31" t="s">
        <v>289</v>
      </c>
      <c r="B17" s="31" t="s">
        <v>290</v>
      </c>
      <c r="C17" s="177">
        <v>110</v>
      </c>
      <c r="D17" s="177">
        <f t="shared" si="0"/>
        <v>154</v>
      </c>
      <c r="F17" s="157" t="s">
        <v>114</v>
      </c>
      <c r="G17" s="157" t="s">
        <v>291</v>
      </c>
      <c r="H17" s="340">
        <v>1.5</v>
      </c>
      <c r="I17" s="340">
        <f t="shared" si="1"/>
        <v>2.7</v>
      </c>
    </row>
    <row r="18" spans="1:9" x14ac:dyDescent="0.3">
      <c r="A18" s="31" t="s">
        <v>106</v>
      </c>
      <c r="B18" s="31" t="s">
        <v>292</v>
      </c>
      <c r="C18" s="177">
        <v>85</v>
      </c>
      <c r="D18" s="177">
        <f t="shared" si="0"/>
        <v>118.99999999999999</v>
      </c>
      <c r="F18" s="157" t="s">
        <v>111</v>
      </c>
      <c r="G18" s="157" t="s">
        <v>293</v>
      </c>
      <c r="H18" s="340">
        <v>120</v>
      </c>
      <c r="I18" s="340">
        <f t="shared" si="1"/>
        <v>216</v>
      </c>
    </row>
    <row r="19" spans="1:9" x14ac:dyDescent="0.3">
      <c r="A19" s="31" t="s">
        <v>294</v>
      </c>
      <c r="B19" s="31" t="s">
        <v>295</v>
      </c>
      <c r="C19" s="177">
        <v>95</v>
      </c>
      <c r="D19" s="177">
        <f t="shared" si="0"/>
        <v>133</v>
      </c>
      <c r="F19" s="31" t="s">
        <v>296</v>
      </c>
      <c r="G19" s="31" t="s">
        <v>297</v>
      </c>
      <c r="H19" s="341">
        <v>120</v>
      </c>
      <c r="I19" s="341">
        <f t="shared" si="1"/>
        <v>216</v>
      </c>
    </row>
    <row r="20" spans="1:9" x14ac:dyDescent="0.3">
      <c r="A20" s="31" t="s">
        <v>298</v>
      </c>
      <c r="B20" s="31" t="s">
        <v>299</v>
      </c>
      <c r="C20" s="177">
        <v>100</v>
      </c>
      <c r="D20" s="177">
        <f t="shared" si="0"/>
        <v>140</v>
      </c>
      <c r="F20" s="157" t="s">
        <v>300</v>
      </c>
      <c r="G20" s="157" t="s">
        <v>301</v>
      </c>
      <c r="H20" s="340">
        <v>105</v>
      </c>
      <c r="I20" s="340">
        <f t="shared" si="1"/>
        <v>189</v>
      </c>
    </row>
    <row r="21" spans="1:9" x14ac:dyDescent="0.3">
      <c r="A21" s="31" t="s">
        <v>107</v>
      </c>
      <c r="B21" s="31" t="s">
        <v>302</v>
      </c>
      <c r="C21" s="177">
        <v>80</v>
      </c>
      <c r="D21" s="177">
        <f t="shared" si="0"/>
        <v>112</v>
      </c>
      <c r="F21" s="157" t="s">
        <v>303</v>
      </c>
      <c r="G21" s="157" t="s">
        <v>304</v>
      </c>
      <c r="H21" s="340">
        <v>145</v>
      </c>
      <c r="I21" s="340">
        <f t="shared" si="1"/>
        <v>261</v>
      </c>
    </row>
    <row r="22" spans="1:9" x14ac:dyDescent="0.3">
      <c r="F22" s="157" t="s">
        <v>305</v>
      </c>
      <c r="G22" s="157" t="s">
        <v>306</v>
      </c>
      <c r="H22" s="340">
        <v>65</v>
      </c>
      <c r="I22" s="340">
        <f t="shared" si="1"/>
        <v>117</v>
      </c>
    </row>
    <row r="23" spans="1:9" x14ac:dyDescent="0.3">
      <c r="F23" s="31" t="s">
        <v>307</v>
      </c>
      <c r="G23" s="31" t="s">
        <v>308</v>
      </c>
      <c r="H23" s="341">
        <v>208</v>
      </c>
      <c r="I23" s="341">
        <f t="shared" si="1"/>
        <v>374.40000000000003</v>
      </c>
    </row>
    <row r="24" spans="1:9" x14ac:dyDescent="0.3">
      <c r="F24" s="157" t="s">
        <v>309</v>
      </c>
      <c r="G24" s="157" t="s">
        <v>310</v>
      </c>
      <c r="H24" s="340">
        <v>200</v>
      </c>
      <c r="I24" s="340">
        <f t="shared" si="1"/>
        <v>360</v>
      </c>
    </row>
    <row r="25" spans="1:9" x14ac:dyDescent="0.3">
      <c r="F25" s="31" t="s">
        <v>311</v>
      </c>
      <c r="G25" s="31" t="s">
        <v>312</v>
      </c>
      <c r="H25" s="341">
        <v>10</v>
      </c>
      <c r="I25" s="341">
        <f t="shared" si="1"/>
        <v>18</v>
      </c>
    </row>
    <row r="26" spans="1:9" x14ac:dyDescent="0.3">
      <c r="F26" s="31" t="s">
        <v>313</v>
      </c>
      <c r="G26" s="31" t="s">
        <v>314</v>
      </c>
      <c r="H26" s="341">
        <v>50</v>
      </c>
      <c r="I26" s="341">
        <f t="shared" si="1"/>
        <v>90</v>
      </c>
    </row>
    <row r="27" spans="1:9" x14ac:dyDescent="0.3">
      <c r="F27" s="31" t="s">
        <v>315</v>
      </c>
      <c r="G27" s="31" t="s">
        <v>316</v>
      </c>
      <c r="H27" s="341">
        <v>50</v>
      </c>
      <c r="I27" s="341">
        <f t="shared" si="1"/>
        <v>90</v>
      </c>
    </row>
    <row r="28" spans="1:9" x14ac:dyDescent="0.3">
      <c r="F28" s="31" t="s">
        <v>317</v>
      </c>
      <c r="G28" s="31" t="s">
        <v>318</v>
      </c>
      <c r="H28" s="341">
        <v>15</v>
      </c>
      <c r="I28" s="341">
        <f t="shared" si="1"/>
        <v>27</v>
      </c>
    </row>
    <row r="29" spans="1:9" x14ac:dyDescent="0.3">
      <c r="F29" s="31" t="s">
        <v>319</v>
      </c>
      <c r="G29" s="31" t="s">
        <v>320</v>
      </c>
      <c r="H29" s="341">
        <v>400</v>
      </c>
      <c r="I29" s="341">
        <f t="shared" si="1"/>
        <v>720</v>
      </c>
    </row>
    <row r="30" spans="1:9" x14ac:dyDescent="0.3">
      <c r="F30" s="31" t="s">
        <v>321</v>
      </c>
      <c r="G30" s="31" t="s">
        <v>322</v>
      </c>
      <c r="H30" s="341">
        <v>100</v>
      </c>
      <c r="I30" s="341">
        <f t="shared" si="1"/>
        <v>180</v>
      </c>
    </row>
    <row r="31" spans="1:9" x14ac:dyDescent="0.3">
      <c r="F31" s="31" t="s">
        <v>323</v>
      </c>
      <c r="G31" s="31" t="s">
        <v>324</v>
      </c>
      <c r="H31" s="341">
        <v>80</v>
      </c>
      <c r="I31" s="341">
        <f t="shared" si="1"/>
        <v>144</v>
      </c>
    </row>
    <row r="32" spans="1:9" x14ac:dyDescent="0.3">
      <c r="F32" s="31" t="s">
        <v>325</v>
      </c>
      <c r="G32" s="31" t="s">
        <v>326</v>
      </c>
      <c r="H32" s="341">
        <v>100</v>
      </c>
      <c r="I32" s="341">
        <f t="shared" si="1"/>
        <v>180</v>
      </c>
    </row>
    <row r="33" spans="6:10" x14ac:dyDescent="0.3">
      <c r="F33" s="31" t="s">
        <v>327</v>
      </c>
      <c r="G33" s="31" t="s">
        <v>328</v>
      </c>
      <c r="H33" s="341">
        <v>200</v>
      </c>
      <c r="I33" s="341">
        <f t="shared" si="1"/>
        <v>360</v>
      </c>
    </row>
    <row r="34" spans="6:10" x14ac:dyDescent="0.3">
      <c r="F34" s="31" t="s">
        <v>329</v>
      </c>
      <c r="G34" s="31" t="s">
        <v>330</v>
      </c>
      <c r="H34" s="341">
        <v>50</v>
      </c>
      <c r="I34" s="341">
        <f t="shared" si="1"/>
        <v>90</v>
      </c>
    </row>
    <row r="35" spans="6:10" x14ac:dyDescent="0.3">
      <c r="F35" s="157" t="s">
        <v>331</v>
      </c>
      <c r="G35" s="157" t="s">
        <v>332</v>
      </c>
      <c r="H35" s="340">
        <v>85</v>
      </c>
      <c r="I35" s="340">
        <f t="shared" ref="I35:I58" si="2">H35*1.8</f>
        <v>153</v>
      </c>
    </row>
    <row r="36" spans="6:10" x14ac:dyDescent="0.3">
      <c r="F36" s="31" t="s">
        <v>333</v>
      </c>
      <c r="G36" s="31" t="s">
        <v>334</v>
      </c>
      <c r="H36" s="341">
        <v>50</v>
      </c>
      <c r="I36" s="341">
        <f t="shared" si="2"/>
        <v>90</v>
      </c>
    </row>
    <row r="37" spans="6:10" x14ac:dyDescent="0.3">
      <c r="F37" s="31" t="s">
        <v>335</v>
      </c>
      <c r="G37" s="31" t="s">
        <v>336</v>
      </c>
      <c r="H37" s="341">
        <v>75</v>
      </c>
      <c r="I37" s="341">
        <f t="shared" si="2"/>
        <v>135</v>
      </c>
    </row>
    <row r="38" spans="6:10" x14ac:dyDescent="0.3">
      <c r="F38" s="31" t="s">
        <v>119</v>
      </c>
      <c r="G38" s="31" t="s">
        <v>337</v>
      </c>
      <c r="H38" s="341">
        <v>110</v>
      </c>
      <c r="I38" s="341">
        <f t="shared" si="2"/>
        <v>198</v>
      </c>
    </row>
    <row r="39" spans="6:10" x14ac:dyDescent="0.3">
      <c r="F39" s="31" t="s">
        <v>338</v>
      </c>
      <c r="G39" s="31" t="s">
        <v>339</v>
      </c>
      <c r="H39" s="341">
        <v>120</v>
      </c>
      <c r="I39" s="341">
        <f t="shared" si="2"/>
        <v>216</v>
      </c>
    </row>
    <row r="40" spans="6:10" x14ac:dyDescent="0.3">
      <c r="F40" s="31" t="s">
        <v>340</v>
      </c>
      <c r="G40" s="31" t="s">
        <v>341</v>
      </c>
      <c r="H40" s="341">
        <v>125</v>
      </c>
      <c r="I40" s="341">
        <f t="shared" si="2"/>
        <v>225</v>
      </c>
    </row>
    <row r="41" spans="6:10" x14ac:dyDescent="0.3">
      <c r="F41" s="31" t="s">
        <v>161</v>
      </c>
      <c r="G41" s="31" t="s">
        <v>342</v>
      </c>
      <c r="H41" s="341">
        <v>350</v>
      </c>
      <c r="I41" s="341">
        <f t="shared" si="2"/>
        <v>630</v>
      </c>
    </row>
    <row r="42" spans="6:10" x14ac:dyDescent="0.3">
      <c r="F42" s="31" t="s">
        <v>343</v>
      </c>
      <c r="G42" s="31" t="s">
        <v>344</v>
      </c>
      <c r="H42" s="341">
        <v>350</v>
      </c>
      <c r="I42" s="341">
        <f t="shared" si="2"/>
        <v>630</v>
      </c>
    </row>
    <row r="43" spans="6:10" x14ac:dyDescent="0.3">
      <c r="F43" s="157" t="s">
        <v>345</v>
      </c>
      <c r="G43" s="157" t="s">
        <v>346</v>
      </c>
      <c r="H43" s="340">
        <v>450</v>
      </c>
      <c r="I43" s="340">
        <f>H43*1.3</f>
        <v>585</v>
      </c>
      <c r="J43" s="342" t="s">
        <v>244</v>
      </c>
    </row>
    <row r="44" spans="6:10" x14ac:dyDescent="0.3">
      <c r="F44" s="31" t="s">
        <v>347</v>
      </c>
      <c r="G44" s="31" t="s">
        <v>348</v>
      </c>
      <c r="H44" s="341">
        <v>450</v>
      </c>
      <c r="I44" s="340">
        <f>H44*1.3</f>
        <v>585</v>
      </c>
      <c r="J44" s="342" t="s">
        <v>244</v>
      </c>
    </row>
    <row r="45" spans="6:10" x14ac:dyDescent="0.3">
      <c r="F45" s="31" t="s">
        <v>115</v>
      </c>
      <c r="G45" s="31" t="s">
        <v>349</v>
      </c>
      <c r="H45" s="341">
        <v>700</v>
      </c>
      <c r="I45" s="341">
        <f>H45*1.4</f>
        <v>979.99999999999989</v>
      </c>
      <c r="J45" s="342" t="s">
        <v>244</v>
      </c>
    </row>
    <row r="46" spans="6:10" x14ac:dyDescent="0.3">
      <c r="F46" s="31" t="s">
        <v>350</v>
      </c>
      <c r="G46" s="31" t="s">
        <v>351</v>
      </c>
      <c r="H46" s="341">
        <v>300</v>
      </c>
      <c r="I46" s="341">
        <f>H46*1.4</f>
        <v>420</v>
      </c>
      <c r="J46" s="342" t="s">
        <v>244</v>
      </c>
    </row>
    <row r="47" spans="6:10" x14ac:dyDescent="0.3">
      <c r="F47" s="31" t="s">
        <v>352</v>
      </c>
      <c r="G47" s="31" t="s">
        <v>353</v>
      </c>
      <c r="H47" s="341">
        <v>350</v>
      </c>
      <c r="I47" s="341">
        <f>H47*1.4</f>
        <v>489.99999999999994</v>
      </c>
      <c r="J47" s="342" t="s">
        <v>244</v>
      </c>
    </row>
    <row r="48" spans="6:10" x14ac:dyDescent="0.3">
      <c r="F48" s="31" t="s">
        <v>354</v>
      </c>
      <c r="G48" s="31" t="s">
        <v>355</v>
      </c>
      <c r="H48" s="341">
        <v>450</v>
      </c>
      <c r="I48" s="341">
        <f>H48*1.4</f>
        <v>630</v>
      </c>
      <c r="J48" s="342" t="s">
        <v>244</v>
      </c>
    </row>
    <row r="49" spans="6:10" x14ac:dyDescent="0.3">
      <c r="F49" s="31" t="s">
        <v>356</v>
      </c>
      <c r="G49" s="31" t="s">
        <v>357</v>
      </c>
      <c r="H49" s="341">
        <v>50</v>
      </c>
      <c r="I49" s="341">
        <f t="shared" si="2"/>
        <v>90</v>
      </c>
    </row>
    <row r="50" spans="6:10" x14ac:dyDescent="0.3">
      <c r="F50" s="31" t="s">
        <v>112</v>
      </c>
      <c r="G50" s="31" t="s">
        <v>358</v>
      </c>
      <c r="H50" s="341">
        <v>145</v>
      </c>
      <c r="I50" s="341">
        <f>H50*1.4</f>
        <v>203</v>
      </c>
      <c r="J50" s="342" t="s">
        <v>244</v>
      </c>
    </row>
    <row r="51" spans="6:10" x14ac:dyDescent="0.3">
      <c r="F51" s="31" t="s">
        <v>359</v>
      </c>
      <c r="G51" s="31" t="s">
        <v>360</v>
      </c>
      <c r="H51" s="341">
        <v>150</v>
      </c>
      <c r="I51" s="341">
        <f t="shared" si="2"/>
        <v>270</v>
      </c>
    </row>
    <row r="52" spans="6:10" x14ac:dyDescent="0.3">
      <c r="F52" s="157" t="s">
        <v>361</v>
      </c>
      <c r="G52" s="157" t="s">
        <v>362</v>
      </c>
      <c r="H52" s="340">
        <v>200</v>
      </c>
      <c r="I52" s="340">
        <f t="shared" si="2"/>
        <v>360</v>
      </c>
    </row>
    <row r="53" spans="6:10" x14ac:dyDescent="0.3">
      <c r="F53" s="157" t="s">
        <v>363</v>
      </c>
      <c r="G53" s="157" t="s">
        <v>364</v>
      </c>
      <c r="H53" s="340">
        <v>35</v>
      </c>
      <c r="I53" s="340">
        <f t="shared" si="2"/>
        <v>63</v>
      </c>
    </row>
    <row r="54" spans="6:10" x14ac:dyDescent="0.3">
      <c r="F54" s="157" t="s">
        <v>365</v>
      </c>
      <c r="G54" s="157" t="s">
        <v>366</v>
      </c>
      <c r="H54" s="340">
        <v>25</v>
      </c>
      <c r="I54" s="340">
        <f t="shared" si="2"/>
        <v>45</v>
      </c>
    </row>
    <row r="55" spans="6:10" x14ac:dyDescent="0.3">
      <c r="F55" s="157" t="s">
        <v>367</v>
      </c>
      <c r="G55" s="157" t="s">
        <v>368</v>
      </c>
      <c r="H55" s="340">
        <v>35</v>
      </c>
      <c r="I55" s="340">
        <f t="shared" si="2"/>
        <v>63</v>
      </c>
    </row>
    <row r="56" spans="6:10" x14ac:dyDescent="0.3">
      <c r="F56" s="157" t="s">
        <v>116</v>
      </c>
      <c r="G56" s="157" t="s">
        <v>369</v>
      </c>
      <c r="H56" s="340">
        <v>85</v>
      </c>
      <c r="I56" s="340">
        <f t="shared" si="2"/>
        <v>153</v>
      </c>
    </row>
    <row r="57" spans="6:10" x14ac:dyDescent="0.3">
      <c r="F57" s="31" t="s">
        <v>381</v>
      </c>
      <c r="G57" s="31" t="s">
        <v>382</v>
      </c>
      <c r="H57" s="340">
        <v>500</v>
      </c>
      <c r="I57" s="340">
        <f t="shared" si="2"/>
        <v>900</v>
      </c>
    </row>
    <row r="58" spans="6:10" x14ac:dyDescent="0.3">
      <c r="F58" s="31" t="s">
        <v>120</v>
      </c>
      <c r="G58" s="31" t="s">
        <v>370</v>
      </c>
      <c r="H58" s="340">
        <v>400</v>
      </c>
      <c r="I58" s="340">
        <f t="shared" si="2"/>
        <v>720</v>
      </c>
    </row>
    <row r="59" spans="6:10" x14ac:dyDescent="0.3">
      <c r="F59" s="31" t="s">
        <v>121</v>
      </c>
      <c r="G59" s="31" t="s">
        <v>371</v>
      </c>
      <c r="H59" s="340">
        <v>730</v>
      </c>
      <c r="I59" s="340">
        <f>H59*1.4</f>
        <v>1021.9999999999999</v>
      </c>
      <c r="J59" s="342" t="s">
        <v>244</v>
      </c>
    </row>
    <row r="60" spans="6:10" x14ac:dyDescent="0.3">
      <c r="F60" s="31" t="s">
        <v>132</v>
      </c>
      <c r="G60" s="31" t="s">
        <v>372</v>
      </c>
      <c r="H60" s="340">
        <v>120</v>
      </c>
      <c r="I60" s="340">
        <f>H60*1.4</f>
        <v>168</v>
      </c>
      <c r="J60" s="342" t="s">
        <v>244</v>
      </c>
    </row>
    <row r="61" spans="6:10" x14ac:dyDescent="0.3">
      <c r="F61" s="31" t="s">
        <v>160</v>
      </c>
      <c r="G61" s="31" t="s">
        <v>373</v>
      </c>
      <c r="H61" s="340">
        <v>600</v>
      </c>
      <c r="I61" s="340">
        <f>H61*1.4</f>
        <v>840</v>
      </c>
      <c r="J61" s="342" t="s">
        <v>244</v>
      </c>
    </row>
    <row r="62" spans="6:10" x14ac:dyDescent="0.3">
      <c r="F62" s="31" t="s">
        <v>123</v>
      </c>
      <c r="G62" s="31" t="s">
        <v>374</v>
      </c>
      <c r="H62" s="340">
        <v>150</v>
      </c>
      <c r="I62" s="340">
        <f>H62*1.8</f>
        <v>270</v>
      </c>
    </row>
    <row r="63" spans="6:10" x14ac:dyDescent="0.3">
      <c r="F63" s="31" t="s">
        <v>122</v>
      </c>
      <c r="G63" s="31" t="s">
        <v>375</v>
      </c>
      <c r="H63" s="340">
        <v>100</v>
      </c>
      <c r="I63" s="340">
        <f>H63*1.8</f>
        <v>180</v>
      </c>
    </row>
    <row r="64" spans="6:10" x14ac:dyDescent="0.3">
      <c r="H64" s="340"/>
      <c r="I64" s="340"/>
    </row>
    <row r="65" spans="8:9" x14ac:dyDescent="0.3">
      <c r="H65" s="340"/>
      <c r="I65" s="340"/>
    </row>
    <row r="66" spans="8:9" x14ac:dyDescent="0.3">
      <c r="H66" s="340"/>
      <c r="I66" s="340"/>
    </row>
    <row r="67" spans="8:9" x14ac:dyDescent="0.3">
      <c r="H67" s="340"/>
      <c r="I67" s="340"/>
    </row>
    <row r="68" spans="8:9" x14ac:dyDescent="0.3">
      <c r="H68" s="31"/>
      <c r="I68" s="31"/>
    </row>
    <row r="69" spans="8:9" x14ac:dyDescent="0.3">
      <c r="H69" s="31"/>
      <c r="I69" s="31"/>
    </row>
    <row r="70" spans="8:9" x14ac:dyDescent="0.3">
      <c r="H70" s="31"/>
      <c r="I70" s="31"/>
    </row>
    <row r="71" spans="8:9" x14ac:dyDescent="0.3">
      <c r="H71" s="31"/>
      <c r="I71" s="31"/>
    </row>
    <row r="72" spans="8:9" x14ac:dyDescent="0.3">
      <c r="H72" s="31"/>
      <c r="I72" s="31"/>
    </row>
  </sheetData>
  <sortState xmlns:xlrd2="http://schemas.microsoft.com/office/spreadsheetml/2017/richdata2" ref="A18:D69">
    <sortCondition ref="A18"/>
  </sortState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&amp;C&amp;"Calibri,Bold"&amp;11&amp;UBudget Estimate Template&amp;R&amp;G</oddHeader>
    <oddFooter>&amp;L&amp;F - &amp;A&amp;CPage &amp;P of &amp;N&amp;R&amp;D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S87"/>
  <sheetViews>
    <sheetView topLeftCell="A27" zoomScale="80" zoomScaleNormal="80" workbookViewId="0">
      <selection activeCell="H30" sqref="H30"/>
    </sheetView>
  </sheetViews>
  <sheetFormatPr defaultRowHeight="14.4" x14ac:dyDescent="0.3"/>
  <cols>
    <col min="1" max="1" width="9.21875" style="1"/>
    <col min="2" max="2" width="51.77734375" style="37" customWidth="1"/>
    <col min="3" max="3" width="17" style="37" bestFit="1" customWidth="1"/>
    <col min="4" max="4" width="16.5546875" style="1" customWidth="1"/>
    <col min="5" max="5" width="15.77734375" style="1" customWidth="1"/>
    <col min="6" max="6" width="17.21875" style="1" bestFit="1" customWidth="1"/>
    <col min="7" max="8" width="15.77734375" style="1" customWidth="1"/>
    <col min="9" max="9" width="9.77734375" style="1" bestFit="1" customWidth="1"/>
    <col min="10" max="10" width="11" style="1" bestFit="1" customWidth="1"/>
    <col min="11" max="11" width="16.21875" style="1" customWidth="1"/>
    <col min="12" max="12" width="13.5546875" style="1" bestFit="1" customWidth="1"/>
    <col min="13" max="13" width="10.44140625" bestFit="1" customWidth="1"/>
    <col min="15" max="15" width="7.77734375" customWidth="1"/>
    <col min="16" max="16" width="8.44140625" customWidth="1"/>
    <col min="17" max="17" width="8.77734375" customWidth="1"/>
    <col min="18" max="18" width="13.44140625" bestFit="1" customWidth="1"/>
    <col min="19" max="19" width="12.21875" bestFit="1" customWidth="1"/>
  </cols>
  <sheetData>
    <row r="1" spans="1:17" ht="15.6" x14ac:dyDescent="0.3">
      <c r="B1" s="46" t="s">
        <v>17</v>
      </c>
      <c r="C1" s="41" t="s">
        <v>18</v>
      </c>
      <c r="D1" s="41" t="s">
        <v>19</v>
      </c>
      <c r="E1" s="41" t="s">
        <v>20</v>
      </c>
      <c r="F1" s="41" t="s">
        <v>21</v>
      </c>
      <c r="G1" s="41" t="s">
        <v>22</v>
      </c>
      <c r="H1" s="41" t="s">
        <v>23</v>
      </c>
      <c r="I1" s="41" t="s">
        <v>24</v>
      </c>
      <c r="J1" s="41" t="s">
        <v>25</v>
      </c>
      <c r="K1" s="70" t="s">
        <v>26</v>
      </c>
    </row>
    <row r="2" spans="1:17" s="35" customFormat="1" ht="13.8" x14ac:dyDescent="0.3">
      <c r="A2" s="31"/>
      <c r="B2" s="95" t="str">
        <f>'Mob-Demob'!B1</f>
        <v>Mobilisation</v>
      </c>
      <c r="C2" s="194">
        <f>'Mob-Demob'!J22+'Mob-Demob'!J40</f>
        <v>17494</v>
      </c>
      <c r="D2" s="194">
        <f>'Mob-Demob'!K22+'Mob-Demob'!K40</f>
        <v>28050.959999999999</v>
      </c>
      <c r="E2" s="194">
        <f>'Mob-Demob'!J51</f>
        <v>30880</v>
      </c>
      <c r="F2" s="194">
        <f>'Mob-Demob'!K51</f>
        <v>45393.599999999999</v>
      </c>
      <c r="G2" s="194">
        <f t="shared" ref="G2:H4" si="0">C2+E2</f>
        <v>48374</v>
      </c>
      <c r="H2" s="194">
        <f t="shared" si="0"/>
        <v>73444.56</v>
      </c>
      <c r="I2" s="178">
        <f>'Mob-Demob'!E6</f>
        <v>1</v>
      </c>
      <c r="J2" s="178">
        <f>'Mob-Demob'!E5</f>
        <v>12</v>
      </c>
      <c r="K2" s="178">
        <f>I2*J2</f>
        <v>12</v>
      </c>
      <c r="L2" s="31"/>
    </row>
    <row r="3" spans="1:17" s="35" customFormat="1" ht="13.8" x14ac:dyDescent="0.3">
      <c r="A3" s="31"/>
      <c r="B3" s="95" t="str">
        <f>'Mob-Demob'!B54</f>
        <v>Demobilisation</v>
      </c>
      <c r="C3" s="194">
        <f>'Mob-Demob'!J75+'Mob-Demob'!J94</f>
        <v>14494</v>
      </c>
      <c r="D3" s="194">
        <f>'Mob-Demob'!K75+'Mob-Demob'!K94</f>
        <v>23640.959999999999</v>
      </c>
      <c r="E3" s="194">
        <f>'Mob-Demob'!J105</f>
        <v>24820</v>
      </c>
      <c r="F3" s="194">
        <f>'Mob-Demob'!K105</f>
        <v>28667.1</v>
      </c>
      <c r="G3" s="194">
        <f t="shared" si="0"/>
        <v>39314</v>
      </c>
      <c r="H3" s="194">
        <f t="shared" si="0"/>
        <v>52308.06</v>
      </c>
      <c r="I3" s="178">
        <f>'Mob-Demob'!E59</f>
        <v>1</v>
      </c>
      <c r="J3" s="178">
        <f>'Mob-Demob'!E58</f>
        <v>6</v>
      </c>
      <c r="K3" s="178">
        <f>I3*J3</f>
        <v>6</v>
      </c>
      <c r="L3" s="31"/>
    </row>
    <row r="4" spans="1:17" x14ac:dyDescent="0.3">
      <c r="C4" s="201">
        <f>SUM(C2:C3)</f>
        <v>31988</v>
      </c>
      <c r="D4" s="201">
        <f>SUM(D2:D3)</f>
        <v>51691.92</v>
      </c>
      <c r="E4" s="201">
        <f>SUM(E2:E3)</f>
        <v>55700</v>
      </c>
      <c r="F4" s="201">
        <f>SUM(F2:F3)</f>
        <v>74060.7</v>
      </c>
      <c r="G4" s="201">
        <f t="shared" si="0"/>
        <v>87688</v>
      </c>
      <c r="H4" s="201">
        <f t="shared" si="0"/>
        <v>125752.62</v>
      </c>
      <c r="I4" s="282">
        <f>SUM(I2:I3)</f>
        <v>2</v>
      </c>
      <c r="J4" s="282">
        <f>SUM(J2:J3)</f>
        <v>18</v>
      </c>
      <c r="K4" s="282">
        <f>SUM(K2:K3)</f>
        <v>18</v>
      </c>
    </row>
    <row r="5" spans="1:17" x14ac:dyDescent="0.3">
      <c r="C5" s="196"/>
      <c r="D5" s="197"/>
      <c r="E5" s="197"/>
      <c r="F5" s="197"/>
      <c r="G5" s="197"/>
      <c r="H5" s="197"/>
      <c r="I5" s="198"/>
      <c r="J5" s="198"/>
      <c r="K5" s="197"/>
    </row>
    <row r="6" spans="1:17" ht="15.6" x14ac:dyDescent="0.3">
      <c r="B6" s="46" t="s">
        <v>27</v>
      </c>
      <c r="C6" s="41" t="s">
        <v>18</v>
      </c>
      <c r="D6" s="41" t="s">
        <v>19</v>
      </c>
      <c r="E6" s="41" t="s">
        <v>20</v>
      </c>
      <c r="F6" s="41" t="s">
        <v>21</v>
      </c>
      <c r="G6" s="41" t="s">
        <v>22</v>
      </c>
      <c r="H6" s="41" t="s">
        <v>23</v>
      </c>
      <c r="I6" s="41" t="s">
        <v>24</v>
      </c>
      <c r="J6" s="41" t="s">
        <v>25</v>
      </c>
      <c r="K6" s="70" t="s">
        <v>26</v>
      </c>
    </row>
    <row r="7" spans="1:17" x14ac:dyDescent="0.3">
      <c r="B7" s="95" t="s">
        <v>28</v>
      </c>
      <c r="C7" s="196">
        <f>Prelims!J23+Prelims!J34</f>
        <v>164800</v>
      </c>
      <c r="D7" s="197">
        <f>Prelims!K23+Prelims!K34</f>
        <v>243432</v>
      </c>
      <c r="E7" s="197">
        <f>Prelims!J46</f>
        <v>0</v>
      </c>
      <c r="F7" s="197">
        <f>Prelims!K46</f>
        <v>45717</v>
      </c>
      <c r="G7" s="194">
        <f>C7+E7</f>
        <v>164800</v>
      </c>
      <c r="H7" s="194">
        <f>D7+F7</f>
        <v>289149</v>
      </c>
      <c r="I7" s="198">
        <f>Prelims!E7</f>
        <v>80</v>
      </c>
      <c r="J7" s="198">
        <f>Prelims!E6</f>
        <v>3</v>
      </c>
      <c r="K7" s="178"/>
    </row>
    <row r="8" spans="1:17" x14ac:dyDescent="0.3">
      <c r="C8" s="201">
        <f>SUM(C6:C7)</f>
        <v>164800</v>
      </c>
      <c r="D8" s="201">
        <f>SUM(D6:D7)</f>
        <v>243432</v>
      </c>
      <c r="E8" s="201">
        <f>SUM(E6:E7)</f>
        <v>0</v>
      </c>
      <c r="F8" s="201">
        <f>SUM(F6:F7)</f>
        <v>45717</v>
      </c>
      <c r="G8" s="201">
        <f>C8+E8</f>
        <v>164800</v>
      </c>
      <c r="H8" s="201">
        <f>D8+F8</f>
        <v>289149</v>
      </c>
      <c r="I8" s="282">
        <f>SUM(I6:I7)</f>
        <v>80</v>
      </c>
      <c r="J8" s="282">
        <f>SUM(J6:J7)</f>
        <v>3</v>
      </c>
      <c r="K8" s="282">
        <f>SUM(K6:K7)</f>
        <v>0</v>
      </c>
    </row>
    <row r="9" spans="1:17" x14ac:dyDescent="0.3">
      <c r="C9" s="196"/>
      <c r="D9" s="197"/>
      <c r="E9" s="197"/>
      <c r="F9" s="197"/>
      <c r="G9" s="197"/>
      <c r="H9" s="197"/>
      <c r="I9" s="198"/>
      <c r="J9" s="198"/>
      <c r="K9" s="197"/>
    </row>
    <row r="10" spans="1:17" ht="15.6" x14ac:dyDescent="0.3">
      <c r="B10" s="46" t="s">
        <v>29</v>
      </c>
      <c r="C10" s="41" t="s">
        <v>18</v>
      </c>
      <c r="D10" s="41" t="s">
        <v>19</v>
      </c>
      <c r="E10" s="41" t="s">
        <v>30</v>
      </c>
      <c r="F10" s="41" t="s">
        <v>31</v>
      </c>
      <c r="G10" s="41" t="s">
        <v>22</v>
      </c>
      <c r="H10" s="41" t="s">
        <v>23</v>
      </c>
      <c r="I10" s="41" t="s">
        <v>24</v>
      </c>
      <c r="J10" s="41" t="s">
        <v>25</v>
      </c>
      <c r="K10" s="70" t="s">
        <v>26</v>
      </c>
    </row>
    <row r="11" spans="1:17" s="35" customFormat="1" x14ac:dyDescent="0.3">
      <c r="A11" s="31"/>
      <c r="B11" s="95" t="str">
        <f>'Installation 1'!$B$4</f>
        <v>Unloading of Pipe 99 trucks</v>
      </c>
      <c r="C11" s="194">
        <f>'Installation 1'!$J$30</f>
        <v>54400</v>
      </c>
      <c r="D11" s="194">
        <f>'Installation 1'!$K$30</f>
        <v>85176</v>
      </c>
      <c r="E11" s="194">
        <f>'Materials 1'!$J$12</f>
        <v>2500</v>
      </c>
      <c r="F11" s="194">
        <f>'Materials 1'!$K$12</f>
        <v>3000</v>
      </c>
      <c r="G11" s="194">
        <f t="shared" ref="G11:G24" si="1">C11+E11</f>
        <v>56900</v>
      </c>
      <c r="H11" s="194">
        <f t="shared" ref="H11:H24" si="2">D11+F11</f>
        <v>88176</v>
      </c>
      <c r="I11" s="178">
        <f>'Installation 1'!$E$9</f>
        <v>20</v>
      </c>
      <c r="J11" s="178">
        <f>'Installation 1'!$E$8</f>
        <v>2</v>
      </c>
      <c r="K11" s="178">
        <f>I11*J11</f>
        <v>40</v>
      </c>
      <c r="L11" s="1"/>
      <c r="M11"/>
      <c r="P11" s="332"/>
      <c r="Q11" s="332"/>
    </row>
    <row r="12" spans="1:17" s="35" customFormat="1" x14ac:dyDescent="0.3">
      <c r="A12" s="31"/>
      <c r="B12" s="98" t="str">
        <f>'Installation 1'!$B$32</f>
        <v>3000m of 560 PN8 PE100 SDR21</v>
      </c>
      <c r="C12" s="199">
        <f>'Installation 1'!$J$58</f>
        <v>32550</v>
      </c>
      <c r="D12" s="199">
        <f>'Installation 1'!$K$58</f>
        <v>49826.7</v>
      </c>
      <c r="E12" s="194">
        <f>'Materials 1'!$J$41</f>
        <v>5000</v>
      </c>
      <c r="F12" s="194">
        <f>'Materials 1'!$K$41</f>
        <v>6000</v>
      </c>
      <c r="G12" s="194">
        <f t="shared" si="1"/>
        <v>37550</v>
      </c>
      <c r="H12" s="194">
        <f t="shared" si="2"/>
        <v>55826.7</v>
      </c>
      <c r="I12" s="200">
        <f>'Installation 1'!$E$37</f>
        <v>6</v>
      </c>
      <c r="J12" s="200">
        <f>'Installation 1'!$E$36</f>
        <v>3</v>
      </c>
      <c r="K12" s="178">
        <f t="shared" ref="K12:K24" si="3">I12*J12</f>
        <v>18</v>
      </c>
      <c r="L12" s="1"/>
      <c r="M12"/>
    </row>
    <row r="13" spans="1:17" s="35" customFormat="1" x14ac:dyDescent="0.3">
      <c r="A13" s="31"/>
      <c r="B13" s="95" t="str">
        <f>'Installation 1'!$B$60</f>
        <v>14,800m of 560 PN6.3 PE100 SDR26.</v>
      </c>
      <c r="C13" s="194">
        <f>'Installation 1'!$J$86</f>
        <v>193340</v>
      </c>
      <c r="D13" s="194">
        <f>'Installation 1'!$K$86</f>
        <v>298145.39999999997</v>
      </c>
      <c r="E13" s="194">
        <f>'Materials 1'!$J$54</f>
        <v>106500</v>
      </c>
      <c r="F13" s="194">
        <f>'Materials 1'!$K$54</f>
        <v>613458</v>
      </c>
      <c r="G13" s="194">
        <f t="shared" si="1"/>
        <v>299840</v>
      </c>
      <c r="H13" s="194">
        <f t="shared" si="2"/>
        <v>911603.39999999991</v>
      </c>
      <c r="I13" s="178">
        <f>'Installation 1'!$E$65</f>
        <v>28</v>
      </c>
      <c r="J13" s="178">
        <f>'Installation 1'!$E$64</f>
        <v>4</v>
      </c>
      <c r="K13" s="178">
        <f t="shared" si="3"/>
        <v>112</v>
      </c>
      <c r="L13" s="1"/>
      <c r="O13" s="302"/>
    </row>
    <row r="14" spans="1:17" s="35" customFormat="1" x14ac:dyDescent="0.3">
      <c r="A14" s="31"/>
      <c r="B14" s="95" t="str">
        <f>'Installation 1'!$B$88</f>
        <v>750m 0f 355 PN8 PE100 SDR17.</v>
      </c>
      <c r="C14" s="199">
        <f>'Installation 1'!$J$114</f>
        <v>5800</v>
      </c>
      <c r="D14" s="199">
        <f>'Installation 1'!$K$114</f>
        <v>9147.5999999999985</v>
      </c>
      <c r="E14" s="194">
        <f>'Materials 1'!$J$72</f>
        <v>3500</v>
      </c>
      <c r="F14" s="194">
        <f>'Materials 1'!$K$72</f>
        <v>4200</v>
      </c>
      <c r="G14" s="194">
        <f t="shared" si="1"/>
        <v>9300</v>
      </c>
      <c r="H14" s="194">
        <f t="shared" si="2"/>
        <v>13347.599999999999</v>
      </c>
      <c r="I14" s="178">
        <f>'Installation 1'!$E$93</f>
        <v>2</v>
      </c>
      <c r="J14" s="178">
        <f>'Installation 1'!$E$92</f>
        <v>2</v>
      </c>
      <c r="K14" s="178">
        <f t="shared" si="3"/>
        <v>4</v>
      </c>
      <c r="L14" s="1"/>
      <c r="M14" s="302"/>
    </row>
    <row r="15" spans="1:17" s="35" customFormat="1" x14ac:dyDescent="0.3">
      <c r="A15" s="31"/>
      <c r="B15" s="95" t="str">
        <f>'Installation 1'!$B$116</f>
        <v>Road Crossings x 10</v>
      </c>
      <c r="C15" s="194">
        <f>'Installation 1'!$J$142</f>
        <v>71360</v>
      </c>
      <c r="D15" s="194">
        <f>'Installation 1'!$K$142</f>
        <v>108595.19999999998</v>
      </c>
      <c r="E15" s="194">
        <f>'Materials 1'!$J$95</f>
        <v>4846</v>
      </c>
      <c r="F15" s="194">
        <f>'Materials 1'!$K$95</f>
        <v>5815.2</v>
      </c>
      <c r="G15" s="194">
        <f t="shared" si="1"/>
        <v>76206</v>
      </c>
      <c r="H15" s="194">
        <f t="shared" si="2"/>
        <v>114410.39999999998</v>
      </c>
      <c r="I15" s="178">
        <f>'Installation 1'!$E$121</f>
        <v>16</v>
      </c>
      <c r="J15" s="178">
        <f>'Installation 1'!$E$120</f>
        <v>3</v>
      </c>
      <c r="K15" s="178">
        <f t="shared" si="3"/>
        <v>48</v>
      </c>
      <c r="L15" s="1"/>
    </row>
    <row r="16" spans="1:17" s="35" customFormat="1" x14ac:dyDescent="0.3">
      <c r="A16" s="31"/>
      <c r="B16" s="95" t="str">
        <f>'Installation 1'!$B$144</f>
        <v>ARV Tie In's 560</v>
      </c>
      <c r="C16" s="194">
        <f>'Installation 1'!$J$170</f>
        <v>40500</v>
      </c>
      <c r="D16" s="194">
        <f>'Installation 1'!$K$170</f>
        <v>62130.599999999991</v>
      </c>
      <c r="E16" s="194">
        <f>'Materials 1'!$J$106</f>
        <v>319043.52</v>
      </c>
      <c r="F16" s="194">
        <f>'Materials 1'!$K$106</f>
        <v>382852.22399999999</v>
      </c>
      <c r="G16" s="194">
        <f t="shared" si="1"/>
        <v>359543.52</v>
      </c>
      <c r="H16" s="194">
        <f t="shared" si="2"/>
        <v>444982.82399999996</v>
      </c>
      <c r="I16" s="178">
        <f>'Installation 1'!$E$149</f>
        <v>12</v>
      </c>
      <c r="J16" s="178">
        <f>'Installation 1'!$E$148</f>
        <v>0</v>
      </c>
      <c r="K16" s="178">
        <f t="shared" si="3"/>
        <v>0</v>
      </c>
      <c r="L16" s="1"/>
      <c r="O16" s="302"/>
    </row>
    <row r="17" spans="1:19" s="35" customFormat="1" x14ac:dyDescent="0.3">
      <c r="A17" s="31"/>
      <c r="B17" s="95" t="str">
        <f>'Installation 1'!$B$172</f>
        <v>Flush Water Tie In</v>
      </c>
      <c r="C17" s="194">
        <f>'Installation 1'!$J$198</f>
        <v>4050</v>
      </c>
      <c r="D17" s="194">
        <f>'Installation 1'!$K$198</f>
        <v>6293.6999999999989</v>
      </c>
      <c r="E17" s="194">
        <f>'Materials 1'!$J$116</f>
        <v>10720.29</v>
      </c>
      <c r="F17" s="194">
        <f>'Materials 1'!$K$116</f>
        <v>12864.348</v>
      </c>
      <c r="G17" s="194">
        <f t="shared" si="1"/>
        <v>14770.29</v>
      </c>
      <c r="H17" s="194">
        <f t="shared" si="2"/>
        <v>19158.047999999999</v>
      </c>
      <c r="I17" s="178">
        <f>'Installation 1'!$E$177</f>
        <v>1.5</v>
      </c>
      <c r="J17" s="178">
        <f>'Installation 1'!$E$176</f>
        <v>2</v>
      </c>
      <c r="K17" s="178">
        <f t="shared" si="3"/>
        <v>3</v>
      </c>
      <c r="L17" s="1"/>
    </row>
    <row r="18" spans="1:19" s="35" customFormat="1" x14ac:dyDescent="0.3">
      <c r="A18" s="31"/>
      <c r="B18" s="95" t="str">
        <f>'Installation 1'!$B$200</f>
        <v xml:space="preserve">Earth Mounding </v>
      </c>
      <c r="C18" s="194">
        <f>'Installation 1'!$J$226</f>
        <v>35600</v>
      </c>
      <c r="D18" s="194">
        <f>'Installation 1'!$K$226</f>
        <v>55692</v>
      </c>
      <c r="E18" s="194">
        <f>'Materials 1'!$J$126</f>
        <v>2000</v>
      </c>
      <c r="F18" s="194">
        <f>'Materials 1'!$K$126</f>
        <v>2400</v>
      </c>
      <c r="G18" s="194">
        <f t="shared" si="1"/>
        <v>37600</v>
      </c>
      <c r="H18" s="194">
        <f t="shared" si="2"/>
        <v>58092</v>
      </c>
      <c r="I18" s="178">
        <f>'Installation 1'!$E$205</f>
        <v>10</v>
      </c>
      <c r="J18" s="178">
        <f>'Installation 1'!$E$1204</f>
        <v>0</v>
      </c>
      <c r="K18" s="178">
        <f t="shared" si="3"/>
        <v>0</v>
      </c>
      <c r="L18" s="1"/>
      <c r="R18" s="302"/>
      <c r="S18" s="302"/>
    </row>
    <row r="19" spans="1:19" s="35" customFormat="1" x14ac:dyDescent="0.3">
      <c r="A19" s="31"/>
      <c r="B19" s="95">
        <f>'Installation 1'!$B$228</f>
        <v>0</v>
      </c>
      <c r="C19" s="194">
        <f>'Installation 1'!$J$254</f>
        <v>0</v>
      </c>
      <c r="D19" s="194">
        <f>'Installation 1'!$K$254</f>
        <v>0</v>
      </c>
      <c r="E19" s="194">
        <f>'Materials 1'!$J$137</f>
        <v>0</v>
      </c>
      <c r="F19" s="194">
        <f>'Materials 1'!$K$137</f>
        <v>0</v>
      </c>
      <c r="G19" s="194">
        <f t="shared" si="1"/>
        <v>0</v>
      </c>
      <c r="H19" s="194">
        <f t="shared" si="2"/>
        <v>0</v>
      </c>
      <c r="I19" s="178">
        <f>'Installation 1'!$E$233</f>
        <v>14</v>
      </c>
      <c r="J19" s="178">
        <f>'Installation 1'!$E$232</f>
        <v>0</v>
      </c>
      <c r="K19" s="178">
        <f t="shared" si="3"/>
        <v>0</v>
      </c>
      <c r="L19" s="1"/>
      <c r="R19" s="302"/>
      <c r="S19" s="302"/>
    </row>
    <row r="20" spans="1:19" s="35" customFormat="1" x14ac:dyDescent="0.3">
      <c r="A20" s="31"/>
      <c r="B20" s="95" t="str">
        <f>'Installation 1'!$B$256</f>
        <v>Flow meters/Actuated Valve/Scour Drain Tee</v>
      </c>
      <c r="C20" s="194">
        <f>'Installation 1'!$J$282</f>
        <v>25655</v>
      </c>
      <c r="D20" s="194">
        <f>'Installation 1'!$K$282</f>
        <v>39138.75</v>
      </c>
      <c r="E20" s="194">
        <f>'Materials 1'!$J$148</f>
        <v>10000</v>
      </c>
      <c r="F20" s="194">
        <f>'Materials 1'!$K$148</f>
        <v>12000</v>
      </c>
      <c r="G20" s="194">
        <f t="shared" si="1"/>
        <v>35655</v>
      </c>
      <c r="H20" s="194">
        <f t="shared" si="2"/>
        <v>51138.75</v>
      </c>
      <c r="I20" s="178">
        <f>'Installation 1'!$E$261</f>
        <v>7</v>
      </c>
      <c r="J20" s="178">
        <f>'Installation 1'!$E$260</f>
        <v>3</v>
      </c>
      <c r="K20" s="178">
        <f t="shared" si="3"/>
        <v>21</v>
      </c>
      <c r="L20" s="1"/>
      <c r="R20" s="302"/>
      <c r="S20" s="302"/>
    </row>
    <row r="21" spans="1:19" s="35" customFormat="1" x14ac:dyDescent="0.3">
      <c r="A21" s="31"/>
      <c r="B21" s="95" t="str">
        <f>'Installation 1'!$B$284</f>
        <v>3,200m of 560 PN10 PE100 SDR21</v>
      </c>
      <c r="C21" s="194">
        <f>'Installation 1'!$J$310</f>
        <v>34950</v>
      </c>
      <c r="D21" s="194">
        <f>'Installation 1'!$K$310</f>
        <v>54362.7</v>
      </c>
      <c r="E21" s="194">
        <f>'Materials 1'!$J$159</f>
        <v>5000</v>
      </c>
      <c r="F21" s="194">
        <f>'Materials 1'!$K$159</f>
        <v>6000</v>
      </c>
      <c r="G21" s="194">
        <f t="shared" si="1"/>
        <v>39950</v>
      </c>
      <c r="H21" s="194">
        <f t="shared" si="2"/>
        <v>60362.7</v>
      </c>
      <c r="I21" s="178">
        <f>'Installation 1'!$E$289</f>
        <v>6</v>
      </c>
      <c r="J21" s="178">
        <f>'Installation 1'!$E$288</f>
        <v>3</v>
      </c>
      <c r="K21" s="178">
        <f t="shared" si="3"/>
        <v>18</v>
      </c>
      <c r="L21" s="1"/>
      <c r="S21" s="302"/>
    </row>
    <row r="22" spans="1:19" s="35" customFormat="1" x14ac:dyDescent="0.3">
      <c r="A22" s="31"/>
      <c r="B22" s="95" t="str">
        <f>'Installation 1'!$B$312</f>
        <v>Supply &amp; Install 3x Standpipe</v>
      </c>
      <c r="C22" s="194">
        <f>'Installation 1'!$J$338</f>
        <v>13725</v>
      </c>
      <c r="D22" s="194">
        <f>'Installation 1'!$K$338</f>
        <v>21404.25</v>
      </c>
      <c r="E22" s="194">
        <f>'Materials 1'!$J$170</f>
        <v>46455</v>
      </c>
      <c r="F22" s="194">
        <f>'Materials 1'!$K$170</f>
        <v>55746</v>
      </c>
      <c r="G22" s="194">
        <f t="shared" si="1"/>
        <v>60180</v>
      </c>
      <c r="H22" s="194">
        <f t="shared" si="2"/>
        <v>77150.25</v>
      </c>
      <c r="I22" s="178">
        <f>'Installation 1'!$E$317</f>
        <v>5</v>
      </c>
      <c r="J22" s="178">
        <f>'Installation 1'!$E$316</f>
        <v>2</v>
      </c>
      <c r="K22" s="178">
        <f t="shared" si="3"/>
        <v>10</v>
      </c>
      <c r="L22" s="1"/>
    </row>
    <row r="23" spans="1:19" s="35" customFormat="1" ht="13.8" x14ac:dyDescent="0.3">
      <c r="A23" s="31"/>
      <c r="B23" s="95">
        <f>'Installation 1'!$B$340</f>
        <v>0</v>
      </c>
      <c r="C23" s="194">
        <f>'Installation 1'!J366</f>
        <v>0</v>
      </c>
      <c r="D23" s="194">
        <f>'Installation 1'!K366</f>
        <v>0</v>
      </c>
      <c r="E23" s="194">
        <f>'Materials 1'!$J$181</f>
        <v>0</v>
      </c>
      <c r="F23" s="194">
        <f>'Materials 1'!$K$181</f>
        <v>0</v>
      </c>
      <c r="G23" s="194">
        <f t="shared" si="1"/>
        <v>0</v>
      </c>
      <c r="H23" s="194">
        <f t="shared" si="2"/>
        <v>0</v>
      </c>
      <c r="I23" s="178">
        <f>'Installation 1'!$E$345</f>
        <v>0</v>
      </c>
      <c r="J23" s="178">
        <f>'Installation 1'!$E$344</f>
        <v>0</v>
      </c>
      <c r="K23" s="178">
        <f t="shared" si="3"/>
        <v>0</v>
      </c>
      <c r="L23" s="31"/>
    </row>
    <row r="24" spans="1:19" s="35" customFormat="1" ht="13.8" x14ac:dyDescent="0.3">
      <c r="A24" s="31"/>
      <c r="B24" s="95" t="str">
        <f>'Installation 1'!$B$368</f>
        <v>#14</v>
      </c>
      <c r="C24" s="194">
        <f>'Installation 1'!J394</f>
        <v>0</v>
      </c>
      <c r="D24" s="194">
        <f>'Installation 1'!K394</f>
        <v>0</v>
      </c>
      <c r="E24" s="194">
        <f>'Materials 1'!$J$192</f>
        <v>0</v>
      </c>
      <c r="F24" s="194">
        <f>'Materials 1'!$K$192</f>
        <v>0</v>
      </c>
      <c r="G24" s="194">
        <f t="shared" si="1"/>
        <v>0</v>
      </c>
      <c r="H24" s="194">
        <f t="shared" si="2"/>
        <v>0</v>
      </c>
      <c r="I24" s="178">
        <f>'Installation 1'!$E$373</f>
        <v>0</v>
      </c>
      <c r="J24" s="178">
        <f>'Installation 1'!$E$372</f>
        <v>0</v>
      </c>
      <c r="K24" s="178">
        <f t="shared" si="3"/>
        <v>0</v>
      </c>
      <c r="L24" s="31"/>
      <c r="M24" s="35">
        <f>144.8/2</f>
        <v>72.400000000000006</v>
      </c>
      <c r="O24" s="331"/>
      <c r="P24" s="331"/>
      <c r="Q24" s="331"/>
    </row>
    <row r="25" spans="1:19" x14ac:dyDescent="0.3">
      <c r="B25" s="38" t="s">
        <v>32</v>
      </c>
      <c r="C25" s="201">
        <f t="shared" ref="C25:K25" si="4">SUM(C11:C24)</f>
        <v>511930</v>
      </c>
      <c r="D25" s="201">
        <f t="shared" si="4"/>
        <v>789912.89999999979</v>
      </c>
      <c r="E25" s="201">
        <f t="shared" si="4"/>
        <v>515564.81</v>
      </c>
      <c r="F25" s="201">
        <f t="shared" si="4"/>
        <v>1104335.7719999999</v>
      </c>
      <c r="G25" s="201">
        <f t="shared" si="4"/>
        <v>1027494.81</v>
      </c>
      <c r="H25" s="201">
        <f t="shared" si="4"/>
        <v>1894248.6719999998</v>
      </c>
      <c r="I25" s="282">
        <f t="shared" si="4"/>
        <v>127.5</v>
      </c>
      <c r="J25" s="282">
        <f t="shared" si="4"/>
        <v>24</v>
      </c>
      <c r="K25" s="282">
        <f t="shared" si="4"/>
        <v>274</v>
      </c>
    </row>
    <row r="26" spans="1:19" x14ac:dyDescent="0.3">
      <c r="C26" s="196"/>
      <c r="D26" s="197"/>
      <c r="E26" s="197"/>
      <c r="F26" s="197"/>
      <c r="G26" s="197"/>
      <c r="H26" s="197"/>
      <c r="I26" s="198"/>
      <c r="J26" s="198"/>
      <c r="K26" s="197"/>
    </row>
    <row r="27" spans="1:19" ht="15.6" x14ac:dyDescent="0.3">
      <c r="B27" s="46" t="s">
        <v>33</v>
      </c>
      <c r="C27" s="41" t="s">
        <v>18</v>
      </c>
      <c r="D27" s="41" t="s">
        <v>19</v>
      </c>
      <c r="E27" s="41" t="s">
        <v>30</v>
      </c>
      <c r="F27" s="41" t="s">
        <v>31</v>
      </c>
      <c r="G27" s="41" t="s">
        <v>22</v>
      </c>
      <c r="H27" s="41" t="s">
        <v>23</v>
      </c>
      <c r="I27" s="41" t="s">
        <v>24</v>
      </c>
      <c r="J27" s="41" t="s">
        <v>25</v>
      </c>
      <c r="K27" s="70" t="s">
        <v>26</v>
      </c>
    </row>
    <row r="28" spans="1:19" s="35" customFormat="1" ht="13.8" x14ac:dyDescent="0.3">
      <c r="A28" s="31"/>
      <c r="B28" s="349" t="str">
        <f>'Subcontract 2'!$B$4</f>
        <v>Freight  Equipment</v>
      </c>
      <c r="C28" s="194">
        <f>'Subcontract 2'!$J$30</f>
        <v>0</v>
      </c>
      <c r="D28" s="194">
        <f>'Subcontract 2'!$K$30</f>
        <v>0</v>
      </c>
      <c r="E28" s="194">
        <f>'Subcontractor 2'!$J$12</f>
        <v>56400</v>
      </c>
      <c r="F28" s="194">
        <f>'Subcontractor 2'!$K$12</f>
        <v>71064</v>
      </c>
      <c r="G28" s="194">
        <f t="shared" ref="G28:G41" si="5">C28+E28</f>
        <v>56400</v>
      </c>
      <c r="H28" s="194">
        <f t="shared" ref="H28:H41" si="6">D28+F28</f>
        <v>71064</v>
      </c>
      <c r="I28" s="178">
        <f>'Subcontract 2'!$E$9</f>
        <v>0</v>
      </c>
      <c r="J28" s="178">
        <f>'Subcontract 2'!$E$8</f>
        <v>0</v>
      </c>
      <c r="K28" s="178">
        <f>I28*J28</f>
        <v>0</v>
      </c>
      <c r="L28" s="31"/>
    </row>
    <row r="29" spans="1:19" s="35" customFormat="1" ht="13.8" x14ac:dyDescent="0.3">
      <c r="A29" s="31"/>
      <c r="B29" s="98" t="str">
        <f>'Subcontract 2'!$B$32</f>
        <v>Hydrostatic Testing</v>
      </c>
      <c r="C29" s="199">
        <f>'Subcontract 2'!$J$58</f>
        <v>0</v>
      </c>
      <c r="D29" s="199">
        <f>'Subcontract 2'!$K$58</f>
        <v>0</v>
      </c>
      <c r="E29" s="194">
        <f>'Subcontractor 2'!$J$23</f>
        <v>0</v>
      </c>
      <c r="F29" s="194">
        <f>'Subcontractor 2'!$K$23</f>
        <v>0</v>
      </c>
      <c r="G29" s="194">
        <f t="shared" si="5"/>
        <v>0</v>
      </c>
      <c r="H29" s="194">
        <f t="shared" si="6"/>
        <v>0</v>
      </c>
      <c r="I29" s="200">
        <f>'Subcontract 2'!$E$37</f>
        <v>0</v>
      </c>
      <c r="J29" s="200">
        <f>'Subcontract 2'!$E$36</f>
        <v>0</v>
      </c>
      <c r="K29" s="178">
        <f t="shared" ref="K29:K41" si="7">I29*J29</f>
        <v>0</v>
      </c>
      <c r="L29" s="31"/>
    </row>
    <row r="30" spans="1:19" s="35" customFormat="1" ht="13.8" x14ac:dyDescent="0.3">
      <c r="A30" s="31"/>
      <c r="B30" s="95" t="str">
        <f>'Subcontract 2'!$B$60</f>
        <v>Quantam Survey</v>
      </c>
      <c r="C30" s="194">
        <f>'Subcontract 2'!$J$86</f>
        <v>0</v>
      </c>
      <c r="D30" s="194">
        <f>'Subcontract 2'!$K$86</f>
        <v>0</v>
      </c>
      <c r="E30" s="194">
        <f>'Subcontractor 2'!$J$34</f>
        <v>22680</v>
      </c>
      <c r="F30" s="194">
        <f>'Subcontractor 2'!$K$34</f>
        <v>28576.799999999999</v>
      </c>
      <c r="G30" s="194">
        <f t="shared" si="5"/>
        <v>22680</v>
      </c>
      <c r="H30" s="194">
        <f t="shared" si="6"/>
        <v>28576.799999999999</v>
      </c>
      <c r="I30" s="178">
        <f>'Subcontract 2'!$E$65</f>
        <v>0</v>
      </c>
      <c r="J30" s="178">
        <f>'Subcontract 2'!$E$64</f>
        <v>0</v>
      </c>
      <c r="K30" s="178">
        <f t="shared" si="7"/>
        <v>0</v>
      </c>
      <c r="L30" s="31"/>
    </row>
    <row r="31" spans="1:19" s="35" customFormat="1" ht="13.8" x14ac:dyDescent="0.3">
      <c r="A31" s="31"/>
      <c r="B31" s="95" t="str">
        <f>'Subcontract 2'!$B$88</f>
        <v>Freight of Pipe</v>
      </c>
      <c r="C31" s="199">
        <f>'Subcontract 2'!$J$114</f>
        <v>0</v>
      </c>
      <c r="D31" s="199">
        <f>'Subcontract 2'!$K$114</f>
        <v>0</v>
      </c>
      <c r="E31" s="194">
        <f>'Subcontractor 2'!$J$45</f>
        <v>330600</v>
      </c>
      <c r="F31" s="194">
        <f>'Subcontractor 2'!$K$45</f>
        <v>416556</v>
      </c>
      <c r="G31" s="194">
        <f t="shared" si="5"/>
        <v>330600</v>
      </c>
      <c r="H31" s="194">
        <f t="shared" si="6"/>
        <v>416556</v>
      </c>
      <c r="I31" s="178">
        <f>'Subcontract 2'!$E$93</f>
        <v>0</v>
      </c>
      <c r="J31" s="178">
        <f>'Subcontract 2'!$E$92</f>
        <v>0</v>
      </c>
      <c r="K31" s="178">
        <f t="shared" si="7"/>
        <v>0</v>
      </c>
      <c r="L31" s="31"/>
    </row>
    <row r="32" spans="1:19" s="35" customFormat="1" ht="13.8" x14ac:dyDescent="0.3">
      <c r="A32" s="31"/>
      <c r="B32" s="95" t="str">
        <f>'Subcontract 2'!$B$116</f>
        <v>#5</v>
      </c>
      <c r="C32" s="194">
        <f>'Subcontract 2'!$J$142</f>
        <v>0</v>
      </c>
      <c r="D32" s="194">
        <f>'Subcontract 2'!$K$142</f>
        <v>0</v>
      </c>
      <c r="E32" s="194">
        <f>'Subcontractor 2'!$J$56</f>
        <v>0</v>
      </c>
      <c r="F32" s="194">
        <f>'Subcontractor 2'!$K$56</f>
        <v>0</v>
      </c>
      <c r="G32" s="194">
        <f t="shared" si="5"/>
        <v>0</v>
      </c>
      <c r="H32" s="194">
        <f t="shared" si="6"/>
        <v>0</v>
      </c>
      <c r="I32" s="178">
        <f>'Subcontract 2'!$E$121</f>
        <v>0</v>
      </c>
      <c r="J32" s="178">
        <f>'Subcontract 2'!$E$120</f>
        <v>0</v>
      </c>
      <c r="K32" s="178">
        <f t="shared" si="7"/>
        <v>0</v>
      </c>
      <c r="L32" s="31"/>
    </row>
    <row r="33" spans="1:12" s="35" customFormat="1" ht="13.8" x14ac:dyDescent="0.3">
      <c r="A33" s="31"/>
      <c r="B33" s="95" t="str">
        <f>'Subcontract 2'!$B$144</f>
        <v>#6</v>
      </c>
      <c r="C33" s="194">
        <f>'Subcontract 2'!$J$170</f>
        <v>0</v>
      </c>
      <c r="D33" s="194">
        <f>'Subcontract 2'!$K$170</f>
        <v>0</v>
      </c>
      <c r="E33" s="194">
        <f>'Subcontractor 2'!$J$67</f>
        <v>0</v>
      </c>
      <c r="F33" s="194">
        <f>'Subcontractor 2'!$K$67</f>
        <v>0</v>
      </c>
      <c r="G33" s="194">
        <f t="shared" si="5"/>
        <v>0</v>
      </c>
      <c r="H33" s="194">
        <f t="shared" si="6"/>
        <v>0</v>
      </c>
      <c r="I33" s="178">
        <f>'Subcontract 2'!$E$149</f>
        <v>0</v>
      </c>
      <c r="J33" s="178">
        <f>'Subcontract 2'!$E$148</f>
        <v>0</v>
      </c>
      <c r="K33" s="178">
        <f t="shared" si="7"/>
        <v>0</v>
      </c>
      <c r="L33" s="31"/>
    </row>
    <row r="34" spans="1:12" s="35" customFormat="1" ht="13.8" x14ac:dyDescent="0.3">
      <c r="A34" s="31"/>
      <c r="B34" s="95" t="str">
        <f>'Subcontract 2'!$B$172</f>
        <v>#7</v>
      </c>
      <c r="C34" s="194">
        <f>'Subcontract 2'!$J$198</f>
        <v>0</v>
      </c>
      <c r="D34" s="194">
        <f>'Subcontract 2'!$K$198</f>
        <v>0</v>
      </c>
      <c r="E34" s="194">
        <f>'Subcontractor 2'!$J$78</f>
        <v>0</v>
      </c>
      <c r="F34" s="194">
        <f>'Subcontractor 2'!$K$78</f>
        <v>0</v>
      </c>
      <c r="G34" s="194">
        <f t="shared" si="5"/>
        <v>0</v>
      </c>
      <c r="H34" s="194">
        <f t="shared" si="6"/>
        <v>0</v>
      </c>
      <c r="I34" s="178">
        <f>'Subcontract 2'!$E$177</f>
        <v>0</v>
      </c>
      <c r="J34" s="178">
        <f>'Subcontract 2'!$E$176</f>
        <v>0</v>
      </c>
      <c r="K34" s="178">
        <f t="shared" si="7"/>
        <v>0</v>
      </c>
      <c r="L34" s="31"/>
    </row>
    <row r="35" spans="1:12" s="35" customFormat="1" ht="13.8" x14ac:dyDescent="0.3">
      <c r="A35" s="31"/>
      <c r="B35" s="95" t="str">
        <f>'Subcontract 2'!$B$200</f>
        <v>#8</v>
      </c>
      <c r="C35" s="194">
        <f>'Subcontract 2'!$J$226</f>
        <v>0</v>
      </c>
      <c r="D35" s="194">
        <f>'Subcontract 2'!$K$226</f>
        <v>0</v>
      </c>
      <c r="E35" s="194">
        <f>'Subcontractor 2'!$J$89</f>
        <v>0</v>
      </c>
      <c r="F35" s="194">
        <f>'Subcontractor 2'!$K$89</f>
        <v>0</v>
      </c>
      <c r="G35" s="194">
        <f t="shared" si="5"/>
        <v>0</v>
      </c>
      <c r="H35" s="194">
        <f t="shared" si="6"/>
        <v>0</v>
      </c>
      <c r="I35" s="178">
        <f>'Subcontract 2'!$E$205</f>
        <v>0</v>
      </c>
      <c r="J35" s="178">
        <f>'Subcontract 2'!$E$1204</f>
        <v>0</v>
      </c>
      <c r="K35" s="178">
        <f t="shared" si="7"/>
        <v>0</v>
      </c>
      <c r="L35" s="31"/>
    </row>
    <row r="36" spans="1:12" s="35" customFormat="1" ht="13.8" x14ac:dyDescent="0.3">
      <c r="A36" s="31"/>
      <c r="B36" s="95" t="str">
        <f>'Subcontract 2'!$B$228</f>
        <v>#9</v>
      </c>
      <c r="C36" s="194">
        <f>'Subcontract 2'!$J$254</f>
        <v>0</v>
      </c>
      <c r="D36" s="194">
        <f>'Subcontract 2'!$K$254</f>
        <v>0</v>
      </c>
      <c r="E36" s="194">
        <f>'Subcontractor 2'!$J$100</f>
        <v>0</v>
      </c>
      <c r="F36" s="194">
        <f>'Subcontractor 2'!$K$100</f>
        <v>0</v>
      </c>
      <c r="G36" s="194">
        <f t="shared" si="5"/>
        <v>0</v>
      </c>
      <c r="H36" s="194">
        <f t="shared" si="6"/>
        <v>0</v>
      </c>
      <c r="I36" s="178">
        <f>'Subcontract 2'!$E$233</f>
        <v>0</v>
      </c>
      <c r="J36" s="178">
        <f>'Subcontract 2'!$E$232</f>
        <v>0</v>
      </c>
      <c r="K36" s="178">
        <f t="shared" si="7"/>
        <v>0</v>
      </c>
      <c r="L36" s="96"/>
    </row>
    <row r="37" spans="1:12" s="35" customFormat="1" ht="13.8" x14ac:dyDescent="0.3">
      <c r="A37" s="31"/>
      <c r="B37" s="95" t="str">
        <f>'Subcontract 2'!$B$256</f>
        <v>#10</v>
      </c>
      <c r="C37" s="194">
        <f>'Subcontract 2'!$J$282</f>
        <v>0</v>
      </c>
      <c r="D37" s="194">
        <f>'Subcontract 2'!$K$282</f>
        <v>0</v>
      </c>
      <c r="E37" s="194">
        <f>'Subcontractor 2'!$J$111</f>
        <v>0</v>
      </c>
      <c r="F37" s="194">
        <f>'Subcontractor 2'!$K$111</f>
        <v>0</v>
      </c>
      <c r="G37" s="194">
        <f t="shared" si="5"/>
        <v>0</v>
      </c>
      <c r="H37" s="194">
        <f t="shared" si="6"/>
        <v>0</v>
      </c>
      <c r="I37" s="178">
        <f>'Subcontract 2'!$E$261</f>
        <v>0</v>
      </c>
      <c r="J37" s="178">
        <f>'Subcontract 2'!$E$260</f>
        <v>0</v>
      </c>
      <c r="K37" s="178">
        <f t="shared" si="7"/>
        <v>0</v>
      </c>
      <c r="L37" s="31"/>
    </row>
    <row r="38" spans="1:12" s="35" customFormat="1" ht="13.8" x14ac:dyDescent="0.3">
      <c r="A38" s="31"/>
      <c r="B38" s="95" t="str">
        <f>'Subcontract 2'!$B$284</f>
        <v>#11</v>
      </c>
      <c r="C38" s="194">
        <f>'Subcontract 2'!$J$310</f>
        <v>0</v>
      </c>
      <c r="D38" s="194">
        <f>'Subcontract 2'!$K$310</f>
        <v>0</v>
      </c>
      <c r="E38" s="194">
        <f>'Subcontractor 2'!$J$122</f>
        <v>0</v>
      </c>
      <c r="F38" s="194">
        <f>'Subcontractor 2'!$K$122</f>
        <v>0</v>
      </c>
      <c r="G38" s="194">
        <f t="shared" si="5"/>
        <v>0</v>
      </c>
      <c r="H38" s="194">
        <f t="shared" si="6"/>
        <v>0</v>
      </c>
      <c r="I38" s="178">
        <f>'Subcontract 2'!$E$289</f>
        <v>0</v>
      </c>
      <c r="J38" s="178">
        <f>'Subcontract 2'!$E$288</f>
        <v>0</v>
      </c>
      <c r="K38" s="178">
        <f t="shared" si="7"/>
        <v>0</v>
      </c>
      <c r="L38" s="31"/>
    </row>
    <row r="39" spans="1:12" s="35" customFormat="1" ht="13.8" x14ac:dyDescent="0.3">
      <c r="A39" s="31"/>
      <c r="B39" s="95" t="str">
        <f>'Subcontract 2'!$B$312</f>
        <v>#12</v>
      </c>
      <c r="C39" s="194">
        <f>'Subcontract 2'!$J$338</f>
        <v>0</v>
      </c>
      <c r="D39" s="194">
        <f>'Subcontract 2'!$K$338</f>
        <v>0</v>
      </c>
      <c r="E39" s="194">
        <f>'Subcontractor 2'!$J$133</f>
        <v>0</v>
      </c>
      <c r="F39" s="194">
        <f>'Subcontractor 2'!$K$133</f>
        <v>0</v>
      </c>
      <c r="G39" s="194">
        <f t="shared" si="5"/>
        <v>0</v>
      </c>
      <c r="H39" s="194">
        <f t="shared" si="6"/>
        <v>0</v>
      </c>
      <c r="I39" s="178">
        <f>'Subcontract 2'!$E$317</f>
        <v>0</v>
      </c>
      <c r="J39" s="178">
        <f>'Subcontract 2'!$E$316</f>
        <v>0</v>
      </c>
      <c r="K39" s="178">
        <f t="shared" si="7"/>
        <v>0</v>
      </c>
      <c r="L39" s="31"/>
    </row>
    <row r="40" spans="1:12" s="35" customFormat="1" ht="13.8" x14ac:dyDescent="0.3">
      <c r="A40" s="31"/>
      <c r="B40" s="95" t="str">
        <f>'Subcontract 2'!$B$340</f>
        <v>#13</v>
      </c>
      <c r="C40" s="194">
        <f>'Subcontract 2'!$J$394</f>
        <v>0</v>
      </c>
      <c r="D40" s="194">
        <f>'Subcontract 2'!$K$394</f>
        <v>0</v>
      </c>
      <c r="E40" s="194">
        <f>'Subcontractor 2'!J150</f>
        <v>0</v>
      </c>
      <c r="F40" s="194">
        <f>'Subcontractor 2'!K150</f>
        <v>0</v>
      </c>
      <c r="G40" s="194">
        <f t="shared" si="5"/>
        <v>0</v>
      </c>
      <c r="H40" s="194">
        <f t="shared" si="6"/>
        <v>0</v>
      </c>
      <c r="I40" s="178">
        <f>'Subcontract 2'!$E$345</f>
        <v>0</v>
      </c>
      <c r="J40" s="178">
        <f>'Subcontract 2'!$E$344</f>
        <v>0</v>
      </c>
      <c r="K40" s="178">
        <f t="shared" si="7"/>
        <v>0</v>
      </c>
      <c r="L40" s="31"/>
    </row>
    <row r="41" spans="1:12" s="35" customFormat="1" ht="13.8" x14ac:dyDescent="0.3">
      <c r="A41" s="31"/>
      <c r="B41" s="95" t="str">
        <f>'Subcontract 2'!$B$368</f>
        <v>#14</v>
      </c>
      <c r="C41" s="194">
        <f>'Subcontract 2'!$J$422</f>
        <v>0</v>
      </c>
      <c r="D41" s="194">
        <f>'Subcontract 2'!$K$422</f>
        <v>0</v>
      </c>
      <c r="E41" s="194">
        <f>'Subcontractor 2'!J167</f>
        <v>0</v>
      </c>
      <c r="F41" s="194">
        <f>'Subcontractor 2'!K167</f>
        <v>0</v>
      </c>
      <c r="G41" s="194">
        <f t="shared" si="5"/>
        <v>0</v>
      </c>
      <c r="H41" s="194">
        <f t="shared" si="6"/>
        <v>0</v>
      </c>
      <c r="I41" s="178">
        <f>'Subcontract 2'!$E$373</f>
        <v>0</v>
      </c>
      <c r="J41" s="178">
        <f>'Subcontract 2'!$E$372</f>
        <v>0</v>
      </c>
      <c r="K41" s="178">
        <f t="shared" si="7"/>
        <v>0</v>
      </c>
      <c r="L41" s="31"/>
    </row>
    <row r="42" spans="1:12" x14ac:dyDescent="0.3">
      <c r="B42" s="38" t="str">
        <f>B25</f>
        <v>Total</v>
      </c>
      <c r="C42" s="201">
        <f t="shared" ref="C42:K42" si="8">SUM(C28:C41)</f>
        <v>0</v>
      </c>
      <c r="D42" s="201">
        <f t="shared" si="8"/>
        <v>0</v>
      </c>
      <c r="E42" s="201">
        <f t="shared" si="8"/>
        <v>409680</v>
      </c>
      <c r="F42" s="201">
        <f t="shared" si="8"/>
        <v>516196.8</v>
      </c>
      <c r="G42" s="201">
        <f t="shared" si="8"/>
        <v>409680</v>
      </c>
      <c r="H42" s="201">
        <f t="shared" si="8"/>
        <v>516196.8</v>
      </c>
      <c r="I42" s="282">
        <f t="shared" si="8"/>
        <v>0</v>
      </c>
      <c r="J42" s="282">
        <f t="shared" si="8"/>
        <v>0</v>
      </c>
      <c r="K42" s="282">
        <f t="shared" si="8"/>
        <v>0</v>
      </c>
    </row>
    <row r="43" spans="1:12" x14ac:dyDescent="0.3">
      <c r="B43" s="38"/>
      <c r="C43" s="67"/>
      <c r="D43" s="67"/>
      <c r="E43" s="67"/>
      <c r="F43" s="67"/>
      <c r="G43" s="67"/>
      <c r="H43" s="67"/>
      <c r="I43" s="195"/>
      <c r="J43" s="195"/>
      <c r="K43" s="195"/>
    </row>
    <row r="44" spans="1:12" ht="15.6" x14ac:dyDescent="0.3">
      <c r="B44" s="46" t="s">
        <v>34</v>
      </c>
      <c r="C44" s="41" t="s">
        <v>18</v>
      </c>
      <c r="D44" s="41" t="s">
        <v>19</v>
      </c>
      <c r="E44" s="41" t="s">
        <v>30</v>
      </c>
      <c r="F44" s="41" t="s">
        <v>31</v>
      </c>
      <c r="G44" s="41" t="s">
        <v>22</v>
      </c>
      <c r="H44" s="41" t="s">
        <v>23</v>
      </c>
      <c r="I44" s="41" t="s">
        <v>24</v>
      </c>
      <c r="J44" s="41" t="s">
        <v>25</v>
      </c>
      <c r="K44" s="70" t="s">
        <v>26</v>
      </c>
    </row>
    <row r="45" spans="1:12" s="35" customFormat="1" ht="13.8" x14ac:dyDescent="0.3">
      <c r="A45" s="31"/>
      <c r="B45" s="95" t="s">
        <v>387</v>
      </c>
      <c r="C45" s="194">
        <f>'Optional-3'!$J$30</f>
        <v>0</v>
      </c>
      <c r="D45" s="194">
        <f>'Optional-3'!$K$30</f>
        <v>0</v>
      </c>
      <c r="E45" s="194">
        <f>'Optional 3'!$J$13</f>
        <v>0</v>
      </c>
      <c r="F45" s="194">
        <f>'Optional 3'!$K$13</f>
        <v>0</v>
      </c>
      <c r="G45" s="194">
        <f t="shared" ref="G45:G58" si="9">C45+E45</f>
        <v>0</v>
      </c>
      <c r="H45" s="194">
        <f t="shared" ref="H45:H58" si="10">D45+F45</f>
        <v>0</v>
      </c>
      <c r="I45" s="178">
        <f>'Optional-3'!$E$9</f>
        <v>0</v>
      </c>
      <c r="J45" s="178">
        <f>'Optional-3'!$E$8</f>
        <v>0</v>
      </c>
      <c r="K45" s="178">
        <f>I45*J45</f>
        <v>0</v>
      </c>
      <c r="L45" s="31"/>
    </row>
    <row r="46" spans="1:12" s="35" customFormat="1" ht="13.8" x14ac:dyDescent="0.3">
      <c r="A46" s="31"/>
      <c r="B46" s="98" t="str">
        <f>'Optional-3'!$B$32</f>
        <v>#2</v>
      </c>
      <c r="C46" s="199">
        <f>'Optional-3'!$J$58</f>
        <v>0</v>
      </c>
      <c r="D46" s="199">
        <f>'Optional-3'!$K$58</f>
        <v>0</v>
      </c>
      <c r="E46" s="194">
        <f>'Optional 3'!$J$24</f>
        <v>0</v>
      </c>
      <c r="F46" s="194">
        <f>'Optional 3'!$K$24</f>
        <v>0</v>
      </c>
      <c r="G46" s="194">
        <f t="shared" si="9"/>
        <v>0</v>
      </c>
      <c r="H46" s="194">
        <f t="shared" si="10"/>
        <v>0</v>
      </c>
      <c r="I46" s="200">
        <f>'Optional-3'!$E$37</f>
        <v>0</v>
      </c>
      <c r="J46" s="200">
        <f>'Optional-3'!$E$36</f>
        <v>0</v>
      </c>
      <c r="K46" s="178">
        <f t="shared" ref="K46:K58" si="11">I46*J46</f>
        <v>0</v>
      </c>
      <c r="L46" s="99"/>
    </row>
    <row r="47" spans="1:12" s="35" customFormat="1" ht="13.8" x14ac:dyDescent="0.3">
      <c r="A47" s="31"/>
      <c r="B47" s="95" t="str">
        <f>'Optional-3'!$B$60</f>
        <v>#3</v>
      </c>
      <c r="C47" s="194">
        <f>'Optional-3'!$J$86</f>
        <v>0</v>
      </c>
      <c r="D47" s="194">
        <f>'Optional-3'!$K$86</f>
        <v>0</v>
      </c>
      <c r="E47" s="194">
        <f>'Optional 3'!$J$35</f>
        <v>0</v>
      </c>
      <c r="F47" s="194">
        <f>'Optional 3'!$K$35</f>
        <v>0</v>
      </c>
      <c r="G47" s="194">
        <f t="shared" si="9"/>
        <v>0</v>
      </c>
      <c r="H47" s="194">
        <f t="shared" si="10"/>
        <v>0</v>
      </c>
      <c r="I47" s="178">
        <f>'Optional-3'!$E$65</f>
        <v>0</v>
      </c>
      <c r="J47" s="178">
        <f>'Optional-3'!$E$64</f>
        <v>0</v>
      </c>
      <c r="K47" s="178">
        <f t="shared" si="11"/>
        <v>0</v>
      </c>
      <c r="L47" s="31"/>
    </row>
    <row r="48" spans="1:12" s="35" customFormat="1" ht="13.8" x14ac:dyDescent="0.3">
      <c r="A48" s="31"/>
      <c r="B48" s="95" t="str">
        <f>'Optional-3'!$B$88</f>
        <v>#4</v>
      </c>
      <c r="C48" s="199">
        <f>'Optional-3'!$J$114</f>
        <v>0</v>
      </c>
      <c r="D48" s="199">
        <f>'Optional-3'!$K$114</f>
        <v>0</v>
      </c>
      <c r="E48" s="194">
        <f>'Optional 3'!$J$46</f>
        <v>0</v>
      </c>
      <c r="F48" s="194">
        <f>'Optional 3'!$K$46</f>
        <v>0</v>
      </c>
      <c r="G48" s="194">
        <f t="shared" si="9"/>
        <v>0</v>
      </c>
      <c r="H48" s="194">
        <f t="shared" si="10"/>
        <v>0</v>
      </c>
      <c r="I48" s="178">
        <f>'Optional-3'!$E$93</f>
        <v>0</v>
      </c>
      <c r="J48" s="178">
        <f>'Optional-3'!$E$92</f>
        <v>0</v>
      </c>
      <c r="K48" s="178">
        <f t="shared" si="11"/>
        <v>0</v>
      </c>
      <c r="L48" s="31"/>
    </row>
    <row r="49" spans="1:12" s="35" customFormat="1" ht="13.8" x14ac:dyDescent="0.3">
      <c r="A49" s="31"/>
      <c r="B49" s="95" t="str">
        <f>'Optional-3'!$B$116</f>
        <v>#5</v>
      </c>
      <c r="C49" s="194">
        <f>'Optional-3'!$J$142</f>
        <v>0</v>
      </c>
      <c r="D49" s="194">
        <f>'Optional-3'!$K$142</f>
        <v>0</v>
      </c>
      <c r="E49" s="194">
        <f>'Optional 3'!$J$57</f>
        <v>0</v>
      </c>
      <c r="F49" s="194">
        <f>'Optional 3'!$K$57</f>
        <v>0</v>
      </c>
      <c r="G49" s="194">
        <f t="shared" si="9"/>
        <v>0</v>
      </c>
      <c r="H49" s="194">
        <f t="shared" si="10"/>
        <v>0</v>
      </c>
      <c r="I49" s="178">
        <f>'Optional-3'!$E$121</f>
        <v>0</v>
      </c>
      <c r="J49" s="178">
        <f>'Optional-3'!$E$120</f>
        <v>0</v>
      </c>
      <c r="K49" s="178">
        <f t="shared" si="11"/>
        <v>0</v>
      </c>
      <c r="L49" s="31"/>
    </row>
    <row r="50" spans="1:12" s="35" customFormat="1" ht="13.8" x14ac:dyDescent="0.3">
      <c r="A50" s="31"/>
      <c r="B50" s="95" t="str">
        <f>'Optional-3'!$B$144</f>
        <v>#6</v>
      </c>
      <c r="C50" s="194">
        <f>'Optional-3'!$J$170</f>
        <v>0</v>
      </c>
      <c r="D50" s="194">
        <f>'Optional-3'!$K$170</f>
        <v>0</v>
      </c>
      <c r="E50" s="194">
        <f>'Optional 3'!$J$68</f>
        <v>0</v>
      </c>
      <c r="F50" s="194">
        <f>'Optional 3'!$K$68</f>
        <v>0</v>
      </c>
      <c r="G50" s="194">
        <f t="shared" si="9"/>
        <v>0</v>
      </c>
      <c r="H50" s="194">
        <f t="shared" si="10"/>
        <v>0</v>
      </c>
      <c r="I50" s="178">
        <f>'Optional-3'!$E$149</f>
        <v>0</v>
      </c>
      <c r="J50" s="178">
        <f>'Optional-3'!$E$148</f>
        <v>0</v>
      </c>
      <c r="K50" s="178">
        <f t="shared" si="11"/>
        <v>0</v>
      </c>
      <c r="L50" s="31"/>
    </row>
    <row r="51" spans="1:12" s="35" customFormat="1" ht="13.8" x14ac:dyDescent="0.3">
      <c r="A51" s="31"/>
      <c r="B51" s="95" t="str">
        <f>'Optional-3'!$B$172</f>
        <v>#7</v>
      </c>
      <c r="C51" s="194">
        <f>'Optional-3'!$J$198</f>
        <v>0</v>
      </c>
      <c r="D51" s="194">
        <f>'Optional-3'!$K$198</f>
        <v>0</v>
      </c>
      <c r="E51" s="194">
        <f>'Optional 3'!$J$79</f>
        <v>0</v>
      </c>
      <c r="F51" s="194">
        <f>'Optional 3'!$K$79</f>
        <v>0</v>
      </c>
      <c r="G51" s="194">
        <f t="shared" si="9"/>
        <v>0</v>
      </c>
      <c r="H51" s="194">
        <f t="shared" si="10"/>
        <v>0</v>
      </c>
      <c r="I51" s="178">
        <f>'Optional-3'!$E$177</f>
        <v>0</v>
      </c>
      <c r="J51" s="178">
        <f>'Optional-3'!$E$176</f>
        <v>0</v>
      </c>
      <c r="K51" s="178">
        <f t="shared" si="11"/>
        <v>0</v>
      </c>
      <c r="L51" s="31"/>
    </row>
    <row r="52" spans="1:12" s="35" customFormat="1" ht="13.8" x14ac:dyDescent="0.3">
      <c r="A52" s="31"/>
      <c r="B52" s="95" t="str">
        <f>'Optional-3'!$B$200</f>
        <v>#8</v>
      </c>
      <c r="C52" s="194">
        <f>'Optional-3'!$J$226</f>
        <v>0</v>
      </c>
      <c r="D52" s="194">
        <f>'Optional-3'!$K$226</f>
        <v>0</v>
      </c>
      <c r="E52" s="194">
        <f>'Optional 3'!$J$90</f>
        <v>0</v>
      </c>
      <c r="F52" s="194">
        <f>'Optional 3'!$K$90</f>
        <v>0</v>
      </c>
      <c r="G52" s="194">
        <f t="shared" si="9"/>
        <v>0</v>
      </c>
      <c r="H52" s="194">
        <f t="shared" si="10"/>
        <v>0</v>
      </c>
      <c r="I52" s="178">
        <f>'Optional-3'!$E$205</f>
        <v>0</v>
      </c>
      <c r="J52" s="178">
        <f>'Optional-3'!$E$1204</f>
        <v>0</v>
      </c>
      <c r="K52" s="178">
        <f t="shared" si="11"/>
        <v>0</v>
      </c>
      <c r="L52" s="31"/>
    </row>
    <row r="53" spans="1:12" s="35" customFormat="1" ht="13.8" x14ac:dyDescent="0.3">
      <c r="A53" s="31"/>
      <c r="B53" s="95" t="str">
        <f>'Optional-3'!$B$228</f>
        <v>#9</v>
      </c>
      <c r="C53" s="194">
        <f>'Optional-3'!$J$254</f>
        <v>0</v>
      </c>
      <c r="D53" s="194">
        <f>'Optional-3'!$K$254</f>
        <v>0</v>
      </c>
      <c r="E53" s="194">
        <f>'Optional 3'!$J$101</f>
        <v>0</v>
      </c>
      <c r="F53" s="194">
        <f>'Optional 3'!$K$101</f>
        <v>0</v>
      </c>
      <c r="G53" s="194">
        <f t="shared" si="9"/>
        <v>0</v>
      </c>
      <c r="H53" s="194">
        <f t="shared" si="10"/>
        <v>0</v>
      </c>
      <c r="I53" s="178">
        <f>'Optional-3'!$E$233</f>
        <v>0</v>
      </c>
      <c r="J53" s="178">
        <f>'Optional-3'!$E$232</f>
        <v>0</v>
      </c>
      <c r="K53" s="178">
        <f t="shared" si="11"/>
        <v>0</v>
      </c>
      <c r="L53" s="31"/>
    </row>
    <row r="54" spans="1:12" s="35" customFormat="1" ht="13.8" x14ac:dyDescent="0.3">
      <c r="A54" s="31"/>
      <c r="B54" s="95" t="str">
        <f>'Optional-3'!$B$256</f>
        <v>#10</v>
      </c>
      <c r="C54" s="194">
        <f>'Optional-3'!$J$282</f>
        <v>0</v>
      </c>
      <c r="D54" s="194">
        <f>'Optional-3'!$K$282</f>
        <v>0</v>
      </c>
      <c r="E54" s="194">
        <f>'Optional 3'!$J$112</f>
        <v>0</v>
      </c>
      <c r="F54" s="194">
        <f>'Optional 3'!$K$112</f>
        <v>0</v>
      </c>
      <c r="G54" s="194">
        <f t="shared" si="9"/>
        <v>0</v>
      </c>
      <c r="H54" s="194">
        <f t="shared" si="10"/>
        <v>0</v>
      </c>
      <c r="I54" s="178">
        <f>'Optional-3'!$E$261</f>
        <v>0</v>
      </c>
      <c r="J54" s="178">
        <f>'Optional-3'!$E$260</f>
        <v>0</v>
      </c>
      <c r="K54" s="178">
        <f t="shared" si="11"/>
        <v>0</v>
      </c>
      <c r="L54" s="31"/>
    </row>
    <row r="55" spans="1:12" s="35" customFormat="1" ht="13.8" x14ac:dyDescent="0.3">
      <c r="A55" s="31"/>
      <c r="B55" s="95" t="str">
        <f>'Optional-3'!$B$284</f>
        <v>#11</v>
      </c>
      <c r="C55" s="194">
        <f>'Optional-3'!$J$310</f>
        <v>0</v>
      </c>
      <c r="D55" s="194">
        <f>'Optional-3'!$K$310</f>
        <v>0</v>
      </c>
      <c r="E55" s="194">
        <f>'Optional 3'!$J$123</f>
        <v>0</v>
      </c>
      <c r="F55" s="194">
        <f>'Optional 3'!$K$123</f>
        <v>0</v>
      </c>
      <c r="G55" s="194">
        <f t="shared" si="9"/>
        <v>0</v>
      </c>
      <c r="H55" s="194">
        <f t="shared" si="10"/>
        <v>0</v>
      </c>
      <c r="I55" s="178">
        <f>'Optional-3'!$E$289</f>
        <v>0</v>
      </c>
      <c r="J55" s="178">
        <f>'Optional-3'!$E$288</f>
        <v>0</v>
      </c>
      <c r="K55" s="178">
        <f t="shared" si="11"/>
        <v>0</v>
      </c>
      <c r="L55" s="96"/>
    </row>
    <row r="56" spans="1:12" s="35" customFormat="1" ht="13.8" x14ac:dyDescent="0.3">
      <c r="A56" s="31"/>
      <c r="B56" s="95" t="str">
        <f>'Optional-3'!$B$312</f>
        <v>#12</v>
      </c>
      <c r="C56" s="194">
        <f>'Optional-3'!$J$338</f>
        <v>0</v>
      </c>
      <c r="D56" s="194">
        <f>'Optional-3'!$K$338</f>
        <v>0</v>
      </c>
      <c r="E56" s="194">
        <f>'Optional 3'!$J$134</f>
        <v>0</v>
      </c>
      <c r="F56" s="194">
        <f>'Optional 3'!$K$134</f>
        <v>0</v>
      </c>
      <c r="G56" s="194">
        <f t="shared" si="9"/>
        <v>0</v>
      </c>
      <c r="H56" s="194">
        <f t="shared" si="10"/>
        <v>0</v>
      </c>
      <c r="I56" s="178">
        <f>'Optional-3'!$E$317</f>
        <v>0</v>
      </c>
      <c r="J56" s="178">
        <f>'Optional-3'!$E$316</f>
        <v>0</v>
      </c>
      <c r="K56" s="178">
        <f t="shared" si="11"/>
        <v>0</v>
      </c>
      <c r="L56" s="96"/>
    </row>
    <row r="57" spans="1:12" s="35" customFormat="1" ht="13.8" x14ac:dyDescent="0.3">
      <c r="A57" s="31"/>
      <c r="B57" s="95" t="str">
        <f>'Optional-3'!$B$340</f>
        <v>#13</v>
      </c>
      <c r="C57" s="194">
        <f>'Optional-3'!$J$394</f>
        <v>0</v>
      </c>
      <c r="D57" s="194">
        <f>'Optional-3'!$K$394</f>
        <v>0</v>
      </c>
      <c r="E57" s="194">
        <f>'Optional 3'!$J$145</f>
        <v>0</v>
      </c>
      <c r="F57" s="194">
        <f>'Optional 3'!$K$145</f>
        <v>0</v>
      </c>
      <c r="G57" s="194">
        <f t="shared" si="9"/>
        <v>0</v>
      </c>
      <c r="H57" s="194">
        <f t="shared" si="10"/>
        <v>0</v>
      </c>
      <c r="I57" s="178">
        <f>'Optional-3'!$E$345</f>
        <v>0</v>
      </c>
      <c r="J57" s="178">
        <f>'Optional-3'!$E$344</f>
        <v>0</v>
      </c>
      <c r="K57" s="178">
        <f t="shared" si="11"/>
        <v>0</v>
      </c>
      <c r="L57" s="96"/>
    </row>
    <row r="58" spans="1:12" s="35" customFormat="1" ht="13.8" x14ac:dyDescent="0.3">
      <c r="A58" s="31"/>
      <c r="B58" s="95" t="str">
        <f>'Optional-3'!$B$368</f>
        <v>#14</v>
      </c>
      <c r="C58" s="194">
        <f>'Optional-3'!$J$422</f>
        <v>0</v>
      </c>
      <c r="D58" s="194">
        <f>'Optional-3'!$K$422</f>
        <v>0</v>
      </c>
      <c r="E58" s="194">
        <f>'Optional 3'!$J$156</f>
        <v>0</v>
      </c>
      <c r="F58" s="194">
        <f>'Optional 3'!$K$156</f>
        <v>0</v>
      </c>
      <c r="G58" s="194">
        <f t="shared" si="9"/>
        <v>0</v>
      </c>
      <c r="H58" s="194">
        <f t="shared" si="10"/>
        <v>0</v>
      </c>
      <c r="I58" s="178">
        <f>'Optional-3'!$E$373</f>
        <v>0</v>
      </c>
      <c r="J58" s="178">
        <f>'Optional-3'!$E$372</f>
        <v>0</v>
      </c>
      <c r="K58" s="178">
        <f t="shared" si="11"/>
        <v>0</v>
      </c>
      <c r="L58" s="96"/>
    </row>
    <row r="59" spans="1:12" x14ac:dyDescent="0.3">
      <c r="B59" s="38" t="s">
        <v>32</v>
      </c>
      <c r="C59" s="201">
        <f t="shared" ref="C59:K59" si="12">SUM(C45:C58)</f>
        <v>0</v>
      </c>
      <c r="D59" s="201">
        <f t="shared" si="12"/>
        <v>0</v>
      </c>
      <c r="E59" s="201">
        <f t="shared" si="12"/>
        <v>0</v>
      </c>
      <c r="F59" s="201">
        <f t="shared" si="12"/>
        <v>0</v>
      </c>
      <c r="G59" s="201">
        <f t="shared" si="12"/>
        <v>0</v>
      </c>
      <c r="H59" s="201">
        <f t="shared" si="12"/>
        <v>0</v>
      </c>
      <c r="I59" s="282">
        <f t="shared" si="12"/>
        <v>0</v>
      </c>
      <c r="J59" s="282">
        <f t="shared" si="12"/>
        <v>0</v>
      </c>
      <c r="K59" s="282">
        <f t="shared" si="12"/>
        <v>0</v>
      </c>
    </row>
    <row r="60" spans="1:12" ht="15" thickBot="1" x14ac:dyDescent="0.35">
      <c r="C60" s="196"/>
      <c r="D60" s="197"/>
      <c r="E60" s="197"/>
      <c r="F60" s="197"/>
      <c r="G60" s="197"/>
      <c r="H60" s="197"/>
      <c r="I60" s="198"/>
      <c r="J60" s="198"/>
      <c r="K60" s="197"/>
    </row>
    <row r="61" spans="1:12" ht="16.2" thickTop="1" x14ac:dyDescent="0.3">
      <c r="B61" s="46" t="s">
        <v>35</v>
      </c>
      <c r="C61" s="202">
        <f t="shared" ref="C61:I61" si="13">C4+C8+C25+C42+C59</f>
        <v>708718</v>
      </c>
      <c r="D61" s="202">
        <f t="shared" si="13"/>
        <v>1085036.8199999998</v>
      </c>
      <c r="E61" s="202">
        <f t="shared" si="13"/>
        <v>980944.81</v>
      </c>
      <c r="F61" s="202">
        <f t="shared" si="13"/>
        <v>1740310.2719999999</v>
      </c>
      <c r="G61" s="202">
        <f t="shared" si="13"/>
        <v>1689662.81</v>
      </c>
      <c r="H61" s="202">
        <f t="shared" si="13"/>
        <v>2825347.0919999997</v>
      </c>
      <c r="I61" s="203">
        <f t="shared" si="13"/>
        <v>209.5</v>
      </c>
      <c r="J61" s="203">
        <f>J4+J8+J25+J42+J59</f>
        <v>45</v>
      </c>
      <c r="K61" s="203">
        <f>K4+K8+K25+K42+K59</f>
        <v>292</v>
      </c>
    </row>
    <row r="62" spans="1:12" x14ac:dyDescent="0.3">
      <c r="C62" s="66"/>
      <c r="D62" s="40"/>
      <c r="E62" s="40"/>
      <c r="F62" s="40"/>
      <c r="G62" s="40"/>
      <c r="H62" s="40"/>
    </row>
    <row r="63" spans="1:12" x14ac:dyDescent="0.3">
      <c r="C63" s="66"/>
      <c r="D63" s="40"/>
      <c r="E63" s="40"/>
      <c r="F63" s="40"/>
      <c r="G63" s="40"/>
      <c r="H63" s="40"/>
      <c r="K63" s="40"/>
    </row>
    <row r="64" spans="1:12" ht="17.399999999999999" x14ac:dyDescent="0.45">
      <c r="C64" s="204" t="s">
        <v>36</v>
      </c>
      <c r="D64" s="205" t="s">
        <v>37</v>
      </c>
      <c r="E64" s="205" t="s">
        <v>38</v>
      </c>
      <c r="F64" s="205" t="s">
        <v>32</v>
      </c>
      <c r="G64" s="40"/>
      <c r="H64" s="40"/>
      <c r="K64" s="40"/>
    </row>
    <row r="65" spans="2:11" ht="15.6" x14ac:dyDescent="0.3">
      <c r="B65" s="68" t="s">
        <v>39</v>
      </c>
      <c r="C65" s="68">
        <f>E25+E42+E59</f>
        <v>925244.81</v>
      </c>
      <c r="D65" s="68">
        <f>C4+C8+C25+C42+C59</f>
        <v>708718</v>
      </c>
      <c r="E65" s="68">
        <f>E4+E8</f>
        <v>55700</v>
      </c>
      <c r="F65" s="68">
        <f>G61</f>
        <v>1689662.81</v>
      </c>
    </row>
    <row r="66" spans="2:11" ht="15.6" x14ac:dyDescent="0.3">
      <c r="B66" s="300" t="s">
        <v>40</v>
      </c>
      <c r="C66" s="301">
        <f>'Materials 1'!J12+'Materials 1'!J41+'Materials 1'!J54+'Materials 1'!J72+'Materials 1'!J95+'Materials 1'!J106+'Materials 1'!J116+'Materials 1'!J126+'Materials 1'!J137+'Materials 1'!J148+'Materials 1'!J159+'Materials 1'!J170+'Materials 1'!J181+'Materials 1'!J192+'Subcontractor 2'!J12+'Subcontractor 2'!J23+'Subcontractor 2'!J34+'Subcontractor 2'!J45+'Subcontractor 2'!J56+'Subcontractor 2'!J67+'Subcontractor 2'!J78+'Subcontractor 2'!J89+'Subcontractor 2'!J100+'Subcontractor 2'!J111+'Subcontractor 2'!J122+'Subcontractor 2'!J133+'Subcontractor 2'!J150+'Subcontractor 2'!K167+'Optional 3'!J13+'Optional 3'!J24+'Optional 3'!J35+'Optional 3'!J46+'Optional 3'!J57+'Optional 3'!J68+'Optional 3'!J79+'Optional 3'!J90+'Optional 3'!J101+'Optional 3'!J112+'Optional 3'!J123+'Optional 3'!J134+'Optional 3'!J145+'Optional 3'!J156</f>
        <v>925244.81</v>
      </c>
      <c r="D66" s="301">
        <f>'Mob-Demob'!J22+'Mob-Demob'!J40+'Mob-Demob'!J75+'Mob-Demob'!J94+Prelims!J23+Prelims!J34+'Installation 1'!J30+'Installation 1'!J58+'Installation 1'!J86+'Installation 1'!J114+'Installation 1'!J142+'Installation 1'!J170+'Installation 1'!J198+'Installation 1'!J226+'Installation 1'!J254+'Installation 1'!J282+'Installation 1'!J310+'Installation 1'!J338+'Installation 1'!J366+'Installation 1'!J394+'Subcontract 2'!J30+'Subcontract 2'!J58+'Subcontract 2'!J86+'Subcontract 2'!J114+'Subcontract 2'!J142+'Subcontract 2'!J170+'Subcontract 2'!J198+'Subcontract 2'!J226+'Subcontract 2'!J254+'Subcontract 2'!J282+'Subcontract 2'!J310+'Subcontract 2'!J338+'Subcontract 2'!J366+'Subcontract 2'!J394+'Optional-3'!J30+'Optional-3'!J58+'Optional-3'!J86+'Optional-3'!J114+'Optional-3'!J142+'Optional-3'!J170+'Optional-3'!J198+'Optional-3'!J226+'Optional-3'!J254+'Optional-3'!J282+'Optional-3'!J310+'Optional-3'!J338+'Optional-3'!J366+'Optional-3'!J394</f>
        <v>708718</v>
      </c>
      <c r="E66" s="301">
        <f>'Mob-Demob'!J51+'Mob-Demob'!J105+Prelims!J46</f>
        <v>55700</v>
      </c>
      <c r="F66" s="301">
        <f>SUM(C66:E66)</f>
        <v>1689662.81</v>
      </c>
      <c r="H66" s="68"/>
      <c r="I66" s="68"/>
      <c r="J66" s="68"/>
      <c r="K66" s="68"/>
    </row>
    <row r="67" spans="2:11" ht="15.6" x14ac:dyDescent="0.3">
      <c r="B67" s="68" t="s">
        <v>41</v>
      </c>
      <c r="C67" s="68">
        <f>F25+F42+F59</f>
        <v>1620532.5719999999</v>
      </c>
      <c r="D67" s="68">
        <f>D4+D8+D25+D42+D59</f>
        <v>1085036.8199999998</v>
      </c>
      <c r="E67" s="68">
        <f>F4+F8</f>
        <v>119777.7</v>
      </c>
      <c r="F67" s="68">
        <f>H61</f>
        <v>2825347.0919999997</v>
      </c>
      <c r="H67" s="40"/>
    </row>
    <row r="68" spans="2:11" x14ac:dyDescent="0.3">
      <c r="B68" s="300" t="s">
        <v>40</v>
      </c>
      <c r="C68" s="301">
        <f>'Materials 1'!K12+'Materials 1'!K41+'Materials 1'!K54+'Materials 1'!K72+'Materials 1'!K95+'Materials 1'!K106+'Materials 1'!K116+'Materials 1'!K126+'Materials 1'!K137+'Materials 1'!K148+'Materials 1'!K159+'Materials 1'!K170+'Materials 1'!K181+'Materials 1'!K192+'Subcontractor 2'!K12+'Subcontractor 2'!K23+'Subcontractor 2'!K34+'Subcontractor 2'!K45+'Subcontractor 2'!K56+'Subcontractor 2'!K67+'Subcontractor 2'!K78+'Subcontractor 2'!K89+'Subcontractor 2'!K100+'Subcontractor 2'!K111+'Subcontractor 2'!K122+'Subcontractor 2'!K133+'Subcontractor 2'!K150+'Subcontractor 2'!K167+'Optional 3'!K13+'Optional 3'!K24+'Optional 3'!K35+'Optional 3'!K46+'Optional 3'!K57+'Optional 3'!K68+'Optional 3'!K79+'Optional 3'!K90+'Optional 3'!K101+'Optional 3'!K112+'Optional 3'!K123+'Optional 3'!K134+'Optional 3'!K145+'Optional 3'!K156</f>
        <v>1620532.5719999999</v>
      </c>
      <c r="D68" s="301">
        <f>'Mob-Demob'!K22+'Mob-Demob'!K40+'Mob-Demob'!K75+'Mob-Demob'!K94+Prelims!K23+Prelims!K34+'Installation 1'!K30+'Installation 1'!K58+'Installation 1'!K86+'Installation 1'!K114+'Installation 1'!K142+'Installation 1'!K170+'Installation 1'!K198+'Installation 1'!K226+'Installation 1'!K254+'Installation 1'!K282+'Installation 1'!K310+'Installation 1'!K338+'Installation 1'!K366+'Installation 1'!K394+'Subcontract 2'!K30+'Subcontract 2'!K58+'Subcontract 2'!K86+'Subcontract 2'!K114+'Subcontract 2'!K142+'Subcontract 2'!K170+'Subcontract 2'!K198+'Subcontract 2'!K226+'Subcontract 2'!K254+'Subcontract 2'!K282+'Subcontract 2'!K310+'Subcontract 2'!K338+'Subcontract 2'!K366+'Subcontract 2'!K394+'Optional-3'!K30+'Optional-3'!K58+'Optional-3'!K86+'Optional-3'!K114+'Optional-3'!K142+'Optional-3'!K170+'Optional-3'!K198+'Optional-3'!K226+'Optional-3'!K254+'Optional-3'!K282+'Optional-3'!K310+'Optional-3'!K338+'Optional-3'!K366+'Optional-3'!K394</f>
        <v>1085036.8199999998</v>
      </c>
      <c r="E68" s="301">
        <f>'Mob-Demob'!K51+'Mob-Demob'!K105+Prelims!K46</f>
        <v>119777.7</v>
      </c>
      <c r="F68" s="301">
        <f>SUM(C68:E68)</f>
        <v>2825347.0920000002</v>
      </c>
      <c r="H68" s="40"/>
    </row>
    <row r="69" spans="2:11" ht="15.6" x14ac:dyDescent="0.3">
      <c r="B69" s="68" t="s">
        <v>42</v>
      </c>
      <c r="C69" s="68">
        <f>C67-C65</f>
        <v>695287.76199999987</v>
      </c>
      <c r="D69" s="68">
        <f>D67-D65</f>
        <v>376318.81999999983</v>
      </c>
      <c r="E69" s="68">
        <f>E67-E65</f>
        <v>64077.7</v>
      </c>
      <c r="F69" s="68">
        <f>F67-F65</f>
        <v>1135684.2819999997</v>
      </c>
      <c r="H69" s="40"/>
    </row>
    <row r="70" spans="2:11" ht="15.6" x14ac:dyDescent="0.3">
      <c r="B70" s="68"/>
      <c r="C70" s="68"/>
      <c r="D70" s="68"/>
      <c r="E70" s="68"/>
      <c r="F70" s="68"/>
    </row>
    <row r="71" spans="2:11" x14ac:dyDescent="0.3">
      <c r="B71" s="1"/>
      <c r="D71" s="40"/>
      <c r="E71" s="40"/>
    </row>
    <row r="72" spans="2:11" ht="15.6" x14ac:dyDescent="0.3">
      <c r="B72" s="68" t="s">
        <v>43</v>
      </c>
      <c r="C72" s="69">
        <f>IF(C67=0,0,C69/C67)</f>
        <v>0.4290489275028283</v>
      </c>
      <c r="D72" s="69">
        <f>IF(D67=0,0,D69/D67)</f>
        <v>0.34682585241669484</v>
      </c>
      <c r="E72" s="69">
        <f>IF(E67=0,0,E69/E67)</f>
        <v>0.53497186872013736</v>
      </c>
      <c r="F72" s="69">
        <f>IF(F67=0,0,F69/F67)</f>
        <v>0.40196274829938655</v>
      </c>
    </row>
    <row r="73" spans="2:11" x14ac:dyDescent="0.3">
      <c r="B73" s="1"/>
      <c r="D73" s="2"/>
      <c r="E73" s="2"/>
    </row>
    <row r="74" spans="2:11" ht="15.6" x14ac:dyDescent="0.3">
      <c r="B74" s="68" t="s">
        <v>44</v>
      </c>
      <c r="D74" s="2"/>
      <c r="E74" s="2"/>
      <c r="F74" s="39">
        <v>80</v>
      </c>
    </row>
    <row r="75" spans="2:11" x14ac:dyDescent="0.3">
      <c r="D75" s="2"/>
      <c r="E75" s="2"/>
    </row>
    <row r="76" spans="2:11" x14ac:dyDescent="0.3">
      <c r="B76" s="38"/>
      <c r="D76" s="2"/>
      <c r="E76" s="2"/>
    </row>
    <row r="77" spans="2:11" x14ac:dyDescent="0.3">
      <c r="B77" s="1"/>
      <c r="D77" s="2"/>
      <c r="E77" s="2"/>
    </row>
    <row r="78" spans="2:11" x14ac:dyDescent="0.3">
      <c r="B78" s="1"/>
    </row>
    <row r="79" spans="2:11" x14ac:dyDescent="0.3">
      <c r="B79" s="1"/>
    </row>
    <row r="80" spans="2:11" x14ac:dyDescent="0.3">
      <c r="B80" s="1"/>
    </row>
    <row r="81" spans="2:5" x14ac:dyDescent="0.3">
      <c r="B81" s="1"/>
      <c r="D81" s="2"/>
      <c r="E81" s="2"/>
    </row>
    <row r="82" spans="2:5" x14ac:dyDescent="0.3">
      <c r="B82" s="1"/>
      <c r="D82" s="2"/>
      <c r="E82" s="2"/>
    </row>
    <row r="83" spans="2:5" x14ac:dyDescent="0.3">
      <c r="D83" s="2"/>
      <c r="E83" s="2"/>
    </row>
    <row r="84" spans="2:5" x14ac:dyDescent="0.3">
      <c r="D84" s="2"/>
      <c r="E84" s="2"/>
    </row>
    <row r="85" spans="2:5" x14ac:dyDescent="0.3">
      <c r="D85" s="2"/>
      <c r="E85" s="2"/>
    </row>
    <row r="86" spans="2:5" x14ac:dyDescent="0.3">
      <c r="D86" s="2"/>
      <c r="E86" s="2"/>
    </row>
    <row r="87" spans="2:5" x14ac:dyDescent="0.3">
      <c r="D87" s="2"/>
      <c r="E87" s="2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&amp;C&amp;"Calibri,Bold"&amp;11&amp;UBudget Estimate Template&amp;R&amp;G</oddHeader>
    <oddFooter>&amp;L&amp;F - &amp;A&amp;CPage &amp;P of &amp;N&amp;R&amp;D</oddFooter>
  </headerFooter>
  <ignoredErrors>
    <ignoredError sqref="F6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150"/>
  <sheetViews>
    <sheetView zoomScale="85" zoomScaleNormal="85" workbookViewId="0">
      <selection activeCell="N9" sqref="N9"/>
    </sheetView>
  </sheetViews>
  <sheetFormatPr defaultColWidth="9.21875" defaultRowHeight="13.8" x14ac:dyDescent="0.3"/>
  <cols>
    <col min="1" max="1" width="11" style="31" bestFit="1" customWidth="1"/>
    <col min="2" max="2" width="40.77734375" style="31" customWidth="1"/>
    <col min="3" max="8" width="16" style="32" customWidth="1"/>
    <col min="9" max="16384" width="9.21875" style="31"/>
  </cols>
  <sheetData>
    <row r="1" spans="1:8" ht="15.6" x14ac:dyDescent="0.3">
      <c r="B1" s="225" t="s">
        <v>45</v>
      </c>
    </row>
    <row r="2" spans="1:8" ht="27.6" x14ac:dyDescent="0.3">
      <c r="B2" s="135" t="s">
        <v>46</v>
      </c>
      <c r="C2" s="135" t="s">
        <v>47</v>
      </c>
      <c r="D2" s="135" t="s">
        <v>48</v>
      </c>
      <c r="E2" s="135" t="s">
        <v>49</v>
      </c>
      <c r="F2" s="135" t="s">
        <v>50</v>
      </c>
      <c r="G2" s="135" t="s">
        <v>51</v>
      </c>
      <c r="H2" s="135" t="s">
        <v>52</v>
      </c>
    </row>
    <row r="3" spans="1:8" x14ac:dyDescent="0.3">
      <c r="B3" s="193"/>
      <c r="C3" s="193"/>
      <c r="D3" s="193"/>
      <c r="E3" s="193"/>
      <c r="F3" s="193"/>
      <c r="G3" s="193"/>
      <c r="H3" s="193"/>
    </row>
    <row r="4" spans="1:8" x14ac:dyDescent="0.3">
      <c r="B4" s="191"/>
      <c r="C4" s="191"/>
      <c r="D4" s="191"/>
      <c r="E4" s="191"/>
      <c r="F4" s="191"/>
      <c r="G4" s="191"/>
      <c r="H4" s="192">
        <f>SUM(H6:H37)</f>
        <v>0</v>
      </c>
    </row>
    <row r="5" spans="1:8" x14ac:dyDescent="0.3">
      <c r="B5" s="47" t="s">
        <v>53</v>
      </c>
      <c r="C5" s="135"/>
      <c r="D5" s="135"/>
      <c r="E5" s="135"/>
      <c r="F5" s="135"/>
      <c r="G5" s="135"/>
      <c r="H5" s="135"/>
    </row>
    <row r="6" spans="1:8" x14ac:dyDescent="0.3">
      <c r="A6" s="31" t="s">
        <v>54</v>
      </c>
      <c r="B6" s="101"/>
      <c r="C6" s="102"/>
      <c r="D6" s="102" t="s">
        <v>55</v>
      </c>
      <c r="E6" s="139">
        <v>20</v>
      </c>
      <c r="F6" s="283">
        <f>ROUNDUP(C6/E6,0)</f>
        <v>0</v>
      </c>
      <c r="G6" s="139"/>
      <c r="H6" s="177">
        <f>IF(F6="",C6*G6,F6*G6)</f>
        <v>0</v>
      </c>
    </row>
    <row r="7" spans="1:8" x14ac:dyDescent="0.3">
      <c r="A7" s="31" t="s">
        <v>54</v>
      </c>
      <c r="B7" s="103"/>
      <c r="C7" s="104"/>
      <c r="D7" s="104" t="s">
        <v>55</v>
      </c>
      <c r="E7" s="139">
        <v>20</v>
      </c>
      <c r="F7" s="283">
        <v>52</v>
      </c>
      <c r="G7" s="139"/>
      <c r="H7" s="177">
        <f>IF(F7="",C7*G7,F7*G7)</f>
        <v>0</v>
      </c>
    </row>
    <row r="8" spans="1:8" x14ac:dyDescent="0.3">
      <c r="A8" s="31" t="s">
        <v>54</v>
      </c>
      <c r="B8" s="103"/>
      <c r="C8" s="104"/>
      <c r="D8" s="104" t="s">
        <v>55</v>
      </c>
      <c r="E8" s="139">
        <v>20</v>
      </c>
      <c r="F8" s="283">
        <f>ROUNDUP(C8/E8,0)</f>
        <v>0</v>
      </c>
      <c r="G8" s="139"/>
      <c r="H8" s="177">
        <f t="shared" ref="H8:H37" si="0">IF(F8="",C8*G8,F8*G8)</f>
        <v>0</v>
      </c>
    </row>
    <row r="9" spans="1:8" x14ac:dyDescent="0.3">
      <c r="A9" s="31" t="s">
        <v>54</v>
      </c>
      <c r="B9" s="103"/>
      <c r="C9" s="104"/>
      <c r="D9" s="104" t="s">
        <v>55</v>
      </c>
      <c r="E9" s="139">
        <v>20</v>
      </c>
      <c r="F9" s="283">
        <f>ROUNDUP(C9/E9,0)</f>
        <v>0</v>
      </c>
      <c r="G9" s="139"/>
      <c r="H9" s="177">
        <f t="shared" si="0"/>
        <v>0</v>
      </c>
    </row>
    <row r="10" spans="1:8" x14ac:dyDescent="0.3">
      <c r="A10" s="31" t="s">
        <v>56</v>
      </c>
      <c r="B10" s="139"/>
      <c r="C10" s="139"/>
      <c r="D10" s="139" t="s">
        <v>57</v>
      </c>
      <c r="E10" s="139"/>
      <c r="F10" s="283"/>
      <c r="G10" s="139"/>
      <c r="H10" s="177">
        <f t="shared" si="0"/>
        <v>0</v>
      </c>
    </row>
    <row r="11" spans="1:8" x14ac:dyDescent="0.3">
      <c r="A11" s="31" t="s">
        <v>58</v>
      </c>
      <c r="B11" s="139"/>
      <c r="C11" s="139"/>
      <c r="D11" s="139" t="s">
        <v>57</v>
      </c>
      <c r="E11" s="139"/>
      <c r="F11" s="283"/>
      <c r="G11" s="139"/>
      <c r="H11" s="177">
        <f t="shared" si="0"/>
        <v>0</v>
      </c>
    </row>
    <row r="12" spans="1:8" x14ac:dyDescent="0.3">
      <c r="A12" s="31" t="s">
        <v>56</v>
      </c>
      <c r="B12" s="139"/>
      <c r="C12" s="139"/>
      <c r="D12" s="139" t="s">
        <v>57</v>
      </c>
      <c r="E12" s="139"/>
      <c r="F12" s="283"/>
      <c r="G12" s="139"/>
      <c r="H12" s="177">
        <f t="shared" si="0"/>
        <v>0</v>
      </c>
    </row>
    <row r="13" spans="1:8" x14ac:dyDescent="0.3">
      <c r="A13" s="31" t="s">
        <v>58</v>
      </c>
      <c r="B13" s="262"/>
      <c r="C13" s="262"/>
      <c r="D13" s="262" t="s">
        <v>57</v>
      </c>
      <c r="E13" s="262"/>
      <c r="F13" s="284"/>
      <c r="G13" s="262"/>
      <c r="H13" s="177">
        <f t="shared" si="0"/>
        <v>0</v>
      </c>
    </row>
    <row r="14" spans="1:8" x14ac:dyDescent="0.3">
      <c r="B14" s="263" t="s">
        <v>59</v>
      </c>
      <c r="C14" s="264"/>
      <c r="D14" s="264"/>
      <c r="E14" s="264"/>
      <c r="F14" s="285"/>
      <c r="G14" s="264"/>
      <c r="H14" s="264"/>
    </row>
    <row r="15" spans="1:8" x14ac:dyDescent="0.3">
      <c r="A15" s="31" t="s">
        <v>54</v>
      </c>
      <c r="B15" s="101"/>
      <c r="C15" s="102"/>
      <c r="D15" s="102" t="s">
        <v>55</v>
      </c>
      <c r="E15" s="139">
        <v>20</v>
      </c>
      <c r="F15" s="283">
        <f>ROUNDUP(C15/E15,0)</f>
        <v>0</v>
      </c>
      <c r="G15" s="139"/>
      <c r="H15" s="177">
        <f t="shared" si="0"/>
        <v>0</v>
      </c>
    </row>
    <row r="16" spans="1:8" x14ac:dyDescent="0.3">
      <c r="A16" s="31" t="s">
        <v>56</v>
      </c>
      <c r="B16" s="139"/>
      <c r="C16" s="139"/>
      <c r="D16" s="139" t="s">
        <v>57</v>
      </c>
      <c r="E16" s="139"/>
      <c r="F16" s="283"/>
      <c r="G16" s="139"/>
      <c r="H16" s="177">
        <f>IF(F16="",C16*G16,F16*G16)</f>
        <v>0</v>
      </c>
    </row>
    <row r="17" spans="1:8" x14ac:dyDescent="0.3">
      <c r="A17" s="31" t="s">
        <v>58</v>
      </c>
      <c r="B17" s="139"/>
      <c r="C17" s="139"/>
      <c r="D17" s="139" t="s">
        <v>57</v>
      </c>
      <c r="E17" s="139"/>
      <c r="F17" s="283"/>
      <c r="G17" s="139"/>
      <c r="H17" s="177">
        <f>IF(F17="",C17*G17,F17*G17)</f>
        <v>0</v>
      </c>
    </row>
    <row r="18" spans="1:8" x14ac:dyDescent="0.3">
      <c r="A18" s="31" t="s">
        <v>60</v>
      </c>
      <c r="B18" s="103"/>
      <c r="C18" s="104"/>
      <c r="D18" s="104" t="s">
        <v>57</v>
      </c>
      <c r="E18" s="139"/>
      <c r="F18" s="283"/>
      <c r="G18" s="139"/>
      <c r="H18" s="177">
        <f>IF(F18="",C18*G18,F18*G18)</f>
        <v>0</v>
      </c>
    </row>
    <row r="19" spans="1:8" x14ac:dyDescent="0.3">
      <c r="A19" s="31" t="s">
        <v>56</v>
      </c>
      <c r="B19" s="103"/>
      <c r="C19" s="104"/>
      <c r="D19" s="104" t="s">
        <v>57</v>
      </c>
      <c r="E19" s="139"/>
      <c r="F19" s="283"/>
      <c r="G19" s="139"/>
      <c r="H19" s="177">
        <f>IF(F19="",C19*G19,F19*G19)</f>
        <v>0</v>
      </c>
    </row>
    <row r="20" spans="1:8" x14ac:dyDescent="0.3">
      <c r="A20" s="31" t="s">
        <v>58</v>
      </c>
      <c r="B20" s="139"/>
      <c r="C20" s="139"/>
      <c r="D20" s="139" t="s">
        <v>57</v>
      </c>
      <c r="E20" s="139"/>
      <c r="F20" s="283"/>
      <c r="G20" s="139"/>
      <c r="H20" s="177">
        <f t="shared" si="0"/>
        <v>0</v>
      </c>
    </row>
    <row r="21" spans="1:8" x14ac:dyDescent="0.3">
      <c r="A21" s="31" t="s">
        <v>61</v>
      </c>
      <c r="B21" s="139"/>
      <c r="C21" s="139"/>
      <c r="D21" s="139" t="s">
        <v>57</v>
      </c>
      <c r="E21" s="139"/>
      <c r="F21" s="283"/>
      <c r="G21" s="139"/>
      <c r="H21" s="177">
        <f t="shared" si="0"/>
        <v>0</v>
      </c>
    </row>
    <row r="22" spans="1:8" x14ac:dyDescent="0.3">
      <c r="A22" s="31" t="s">
        <v>54</v>
      </c>
      <c r="B22" s="139"/>
      <c r="C22" s="139"/>
      <c r="D22" s="139" t="s">
        <v>55</v>
      </c>
      <c r="E22" s="139">
        <v>20</v>
      </c>
      <c r="F22" s="283">
        <f>ROUNDUP(C22/E22,0)</f>
        <v>0</v>
      </c>
      <c r="G22" s="139"/>
      <c r="H22" s="177">
        <f t="shared" si="0"/>
        <v>0</v>
      </c>
    </row>
    <row r="23" spans="1:8" x14ac:dyDescent="0.3">
      <c r="B23" s="139"/>
      <c r="C23" s="139"/>
      <c r="D23" s="139"/>
      <c r="E23" s="139"/>
      <c r="F23" s="283"/>
      <c r="G23" s="139"/>
      <c r="H23" s="177">
        <f t="shared" si="0"/>
        <v>0</v>
      </c>
    </row>
    <row r="24" spans="1:8" x14ac:dyDescent="0.3">
      <c r="A24" s="31" t="s">
        <v>62</v>
      </c>
      <c r="B24" s="139"/>
      <c r="C24" s="139"/>
      <c r="D24" s="139" t="s">
        <v>57</v>
      </c>
      <c r="E24" s="139"/>
      <c r="F24" s="283"/>
      <c r="G24" s="139"/>
      <c r="H24" s="177">
        <f t="shared" si="0"/>
        <v>0</v>
      </c>
    </row>
    <row r="25" spans="1:8" x14ac:dyDescent="0.3">
      <c r="B25" s="139"/>
      <c r="C25" s="139"/>
      <c r="D25" s="139"/>
      <c r="E25" s="139"/>
      <c r="F25" s="283"/>
      <c r="G25" s="139"/>
      <c r="H25" s="177">
        <f t="shared" si="0"/>
        <v>0</v>
      </c>
    </row>
    <row r="26" spans="1:8" x14ac:dyDescent="0.3">
      <c r="A26" s="31" t="s">
        <v>54</v>
      </c>
      <c r="B26" s="103"/>
      <c r="C26" s="104"/>
      <c r="D26" s="104" t="s">
        <v>55</v>
      </c>
      <c r="E26" s="139">
        <v>20</v>
      </c>
      <c r="F26" s="283">
        <f>ROUNDUP(C26/E26,0)</f>
        <v>0</v>
      </c>
      <c r="G26" s="139"/>
      <c r="H26" s="177">
        <f>IF(F26="",C26*G26,F26*G26)</f>
        <v>0</v>
      </c>
    </row>
    <row r="27" spans="1:8" x14ac:dyDescent="0.3">
      <c r="B27" s="139"/>
      <c r="C27" s="139"/>
      <c r="D27" s="139"/>
      <c r="E27" s="139"/>
      <c r="F27" s="283"/>
      <c r="G27" s="139"/>
      <c r="H27" s="177">
        <f>IF(F27="",C27*G27,F27*G27)</f>
        <v>0</v>
      </c>
    </row>
    <row r="28" spans="1:8" x14ac:dyDescent="0.3">
      <c r="A28" s="31" t="s">
        <v>60</v>
      </c>
      <c r="B28" s="103"/>
      <c r="C28" s="104"/>
      <c r="D28" s="104" t="s">
        <v>57</v>
      </c>
      <c r="E28" s="139"/>
      <c r="F28" s="283"/>
      <c r="G28" s="139"/>
      <c r="H28" s="177">
        <f>IF(F28="",C28*G28,F28*G28)</f>
        <v>0</v>
      </c>
    </row>
    <row r="29" spans="1:8" x14ac:dyDescent="0.3">
      <c r="A29" s="31" t="s">
        <v>56</v>
      </c>
      <c r="B29" s="103"/>
      <c r="C29" s="104"/>
      <c r="D29" s="104" t="s">
        <v>57</v>
      </c>
      <c r="E29" s="139"/>
      <c r="F29" s="283"/>
      <c r="G29" s="139"/>
      <c r="H29" s="177">
        <f>IF(F29="",C29*G29,F29*G29)</f>
        <v>0</v>
      </c>
    </row>
    <row r="30" spans="1:8" x14ac:dyDescent="0.3">
      <c r="A30" s="31" t="s">
        <v>58</v>
      </c>
      <c r="B30" s="139"/>
      <c r="C30" s="139"/>
      <c r="D30" s="139" t="s">
        <v>57</v>
      </c>
      <c r="E30" s="139"/>
      <c r="F30" s="283"/>
      <c r="G30" s="139"/>
      <c r="H30" s="177">
        <f>IF(F30="",C30*G30,F30*G30)</f>
        <v>0</v>
      </c>
    </row>
    <row r="31" spans="1:8" x14ac:dyDescent="0.3">
      <c r="A31" s="31" t="s">
        <v>61</v>
      </c>
      <c r="B31" s="139"/>
      <c r="C31" s="139"/>
      <c r="D31" s="139" t="s">
        <v>57</v>
      </c>
      <c r="E31" s="139"/>
      <c r="F31" s="283"/>
      <c r="G31" s="139"/>
      <c r="H31" s="177">
        <f t="shared" si="0"/>
        <v>0</v>
      </c>
    </row>
    <row r="32" spans="1:8" x14ac:dyDescent="0.3">
      <c r="A32" s="31" t="s">
        <v>54</v>
      </c>
      <c r="B32" s="139"/>
      <c r="C32" s="139"/>
      <c r="D32" s="139" t="s">
        <v>55</v>
      </c>
      <c r="E32" s="139">
        <v>20</v>
      </c>
      <c r="F32" s="283">
        <f>ROUNDUP(C32/E32,0)</f>
        <v>0</v>
      </c>
      <c r="G32" s="139"/>
      <c r="H32" s="177">
        <f t="shared" si="0"/>
        <v>0</v>
      </c>
    </row>
    <row r="33" spans="1:8" x14ac:dyDescent="0.3">
      <c r="B33" s="139"/>
      <c r="C33" s="139"/>
      <c r="D33" s="139"/>
      <c r="E33" s="139"/>
      <c r="F33" s="283"/>
      <c r="G33" s="139"/>
      <c r="H33" s="177">
        <f t="shared" si="0"/>
        <v>0</v>
      </c>
    </row>
    <row r="34" spans="1:8" x14ac:dyDescent="0.3">
      <c r="A34" s="31" t="s">
        <v>54</v>
      </c>
      <c r="B34" s="139"/>
      <c r="C34" s="139"/>
      <c r="D34" s="139" t="s">
        <v>55</v>
      </c>
      <c r="E34" s="139">
        <v>20</v>
      </c>
      <c r="F34" s="283">
        <f>ROUNDUP(C34/E34,0)</f>
        <v>0</v>
      </c>
      <c r="G34" s="139"/>
      <c r="H34" s="177">
        <f t="shared" si="0"/>
        <v>0</v>
      </c>
    </row>
    <row r="35" spans="1:8" x14ac:dyDescent="0.3">
      <c r="B35" s="139"/>
      <c r="C35" s="139"/>
      <c r="D35" s="139"/>
      <c r="E35" s="139"/>
      <c r="F35" s="283"/>
      <c r="G35" s="139"/>
      <c r="H35" s="177">
        <f t="shared" si="0"/>
        <v>0</v>
      </c>
    </row>
    <row r="36" spans="1:8" x14ac:dyDescent="0.3">
      <c r="A36" s="31" t="s">
        <v>60</v>
      </c>
      <c r="B36" s="103"/>
      <c r="C36" s="104"/>
      <c r="D36" s="104" t="s">
        <v>57</v>
      </c>
      <c r="E36" s="139"/>
      <c r="F36" s="283"/>
      <c r="G36" s="139"/>
      <c r="H36" s="177">
        <f t="shared" si="0"/>
        <v>0</v>
      </c>
    </row>
    <row r="37" spans="1:8" x14ac:dyDescent="0.3">
      <c r="A37" s="31" t="s">
        <v>56</v>
      </c>
      <c r="B37" s="103"/>
      <c r="C37" s="104"/>
      <c r="D37" s="104" t="s">
        <v>57</v>
      </c>
      <c r="E37" s="139"/>
      <c r="F37" s="283"/>
      <c r="G37" s="139"/>
      <c r="H37" s="177">
        <f t="shared" si="0"/>
        <v>0</v>
      </c>
    </row>
    <row r="38" spans="1:8" x14ac:dyDescent="0.3">
      <c r="A38" s="31" t="s">
        <v>58</v>
      </c>
      <c r="B38" s="139"/>
      <c r="C38" s="139"/>
      <c r="D38" s="139" t="s">
        <v>57</v>
      </c>
      <c r="E38" s="139"/>
      <c r="F38" s="283"/>
      <c r="G38" s="139"/>
      <c r="H38" s="177">
        <f t="shared" ref="H38:H99" si="1">IF(F38="",C38*G38,F38*G38)</f>
        <v>0</v>
      </c>
    </row>
    <row r="39" spans="1:8" x14ac:dyDescent="0.3">
      <c r="A39" s="31" t="s">
        <v>61</v>
      </c>
      <c r="B39" s="139"/>
      <c r="C39" s="139"/>
      <c r="D39" s="139" t="s">
        <v>57</v>
      </c>
      <c r="E39" s="139"/>
      <c r="F39" s="283"/>
      <c r="G39" s="139"/>
      <c r="H39" s="177">
        <f t="shared" si="1"/>
        <v>0</v>
      </c>
    </row>
    <row r="40" spans="1:8" x14ac:dyDescent="0.3">
      <c r="A40" s="31" t="s">
        <v>54</v>
      </c>
      <c r="B40" s="139"/>
      <c r="C40" s="139"/>
      <c r="D40" s="139" t="s">
        <v>55</v>
      </c>
      <c r="E40" s="139">
        <v>20</v>
      </c>
      <c r="F40" s="283">
        <f>ROUNDUP(C40/E40,0)</f>
        <v>0</v>
      </c>
      <c r="G40" s="139"/>
      <c r="H40" s="177">
        <f t="shared" si="1"/>
        <v>0</v>
      </c>
    </row>
    <row r="41" spans="1:8" x14ac:dyDescent="0.3">
      <c r="B41" s="139"/>
      <c r="C41" s="139"/>
      <c r="D41" s="139"/>
      <c r="E41" s="139"/>
      <c r="F41" s="283"/>
      <c r="G41" s="139"/>
      <c r="H41" s="177">
        <f t="shared" si="1"/>
        <v>0</v>
      </c>
    </row>
    <row r="42" spans="1:8" x14ac:dyDescent="0.3">
      <c r="A42" s="31" t="s">
        <v>62</v>
      </c>
      <c r="B42" s="139"/>
      <c r="C42" s="139"/>
      <c r="D42" s="139" t="s">
        <v>57</v>
      </c>
      <c r="E42" s="139"/>
      <c r="F42" s="283"/>
      <c r="G42" s="139"/>
      <c r="H42" s="177">
        <f t="shared" si="1"/>
        <v>0</v>
      </c>
    </row>
    <row r="43" spans="1:8" x14ac:dyDescent="0.3">
      <c r="B43" s="139"/>
      <c r="C43" s="139"/>
      <c r="D43" s="139"/>
      <c r="E43" s="139"/>
      <c r="F43" s="283"/>
      <c r="G43" s="139"/>
      <c r="H43" s="177">
        <f t="shared" si="1"/>
        <v>0</v>
      </c>
    </row>
    <row r="44" spans="1:8" x14ac:dyDescent="0.3">
      <c r="A44" s="31" t="s">
        <v>54</v>
      </c>
      <c r="B44" s="139"/>
      <c r="C44" s="139"/>
      <c r="D44" s="139" t="s">
        <v>55</v>
      </c>
      <c r="E44" s="139">
        <v>20</v>
      </c>
      <c r="F44" s="283">
        <f>ROUNDUP(C44/E44,0)</f>
        <v>0</v>
      </c>
      <c r="G44" s="139"/>
      <c r="H44" s="177">
        <f t="shared" si="1"/>
        <v>0</v>
      </c>
    </row>
    <row r="45" spans="1:8" x14ac:dyDescent="0.3">
      <c r="B45" s="139"/>
      <c r="C45" s="139"/>
      <c r="D45" s="139"/>
      <c r="E45" s="139"/>
      <c r="F45" s="283"/>
      <c r="G45" s="139"/>
      <c r="H45" s="177">
        <f t="shared" si="1"/>
        <v>0</v>
      </c>
    </row>
    <row r="46" spans="1:8" x14ac:dyDescent="0.3">
      <c r="A46" s="31" t="s">
        <v>63</v>
      </c>
      <c r="B46" s="103"/>
      <c r="C46" s="104"/>
      <c r="D46" s="104" t="s">
        <v>57</v>
      </c>
      <c r="E46" s="139"/>
      <c r="F46" s="283"/>
      <c r="G46" s="139"/>
      <c r="H46" s="177">
        <f t="shared" si="1"/>
        <v>0</v>
      </c>
    </row>
    <row r="47" spans="1:8" x14ac:dyDescent="0.3">
      <c r="A47" s="31" t="s">
        <v>56</v>
      </c>
      <c r="B47" s="103"/>
      <c r="C47" s="104"/>
      <c r="D47" s="104" t="s">
        <v>57</v>
      </c>
      <c r="E47" s="139"/>
      <c r="F47" s="283"/>
      <c r="G47" s="139"/>
      <c r="H47" s="177">
        <f t="shared" si="1"/>
        <v>0</v>
      </c>
    </row>
    <row r="48" spans="1:8" x14ac:dyDescent="0.3">
      <c r="A48" s="31" t="s">
        <v>58</v>
      </c>
      <c r="B48" s="139"/>
      <c r="C48" s="139"/>
      <c r="D48" s="139" t="s">
        <v>57</v>
      </c>
      <c r="E48" s="139"/>
      <c r="F48" s="283"/>
      <c r="G48" s="139"/>
      <c r="H48" s="177">
        <f t="shared" si="1"/>
        <v>0</v>
      </c>
    </row>
    <row r="49" spans="1:8" x14ac:dyDescent="0.3">
      <c r="A49" s="31" t="s">
        <v>61</v>
      </c>
      <c r="B49" s="139"/>
      <c r="C49" s="139"/>
      <c r="D49" s="139" t="s">
        <v>57</v>
      </c>
      <c r="E49" s="139"/>
      <c r="F49" s="283"/>
      <c r="G49" s="139"/>
      <c r="H49" s="177">
        <f t="shared" si="1"/>
        <v>0</v>
      </c>
    </row>
    <row r="50" spans="1:8" x14ac:dyDescent="0.3">
      <c r="A50" s="31" t="s">
        <v>54</v>
      </c>
      <c r="B50" s="139"/>
      <c r="C50" s="139"/>
      <c r="D50" s="139" t="s">
        <v>55</v>
      </c>
      <c r="E50" s="139">
        <v>20</v>
      </c>
      <c r="F50" s="283">
        <f>ROUNDUP(C50/E50,0)</f>
        <v>0</v>
      </c>
      <c r="G50" s="139"/>
      <c r="H50" s="177">
        <f t="shared" si="1"/>
        <v>0</v>
      </c>
    </row>
    <row r="51" spans="1:8" x14ac:dyDescent="0.3">
      <c r="B51" s="139"/>
      <c r="C51" s="139"/>
      <c r="D51" s="139"/>
      <c r="E51" s="139"/>
      <c r="F51" s="283"/>
      <c r="G51" s="139"/>
      <c r="H51" s="177">
        <f t="shared" si="1"/>
        <v>0</v>
      </c>
    </row>
    <row r="52" spans="1:8" x14ac:dyDescent="0.3">
      <c r="A52" s="31" t="s">
        <v>54</v>
      </c>
      <c r="B52" s="103"/>
      <c r="C52" s="104"/>
      <c r="D52" s="104" t="s">
        <v>55</v>
      </c>
      <c r="E52" s="139">
        <v>20</v>
      </c>
      <c r="F52" s="283">
        <f>ROUNDUP(C52/E52,0)</f>
        <v>0</v>
      </c>
      <c r="G52" s="139"/>
      <c r="H52" s="177">
        <f t="shared" si="1"/>
        <v>0</v>
      </c>
    </row>
    <row r="53" spans="1:8" x14ac:dyDescent="0.3">
      <c r="B53" s="139"/>
      <c r="C53" s="139"/>
      <c r="D53" s="139"/>
      <c r="E53" s="139"/>
      <c r="F53" s="283"/>
      <c r="G53" s="139"/>
      <c r="H53" s="177">
        <f t="shared" si="1"/>
        <v>0</v>
      </c>
    </row>
    <row r="54" spans="1:8" x14ac:dyDescent="0.3">
      <c r="A54" s="31" t="s">
        <v>64</v>
      </c>
      <c r="B54" s="103"/>
      <c r="C54" s="104"/>
      <c r="D54" s="104" t="s">
        <v>57</v>
      </c>
      <c r="E54" s="139"/>
      <c r="F54" s="283"/>
      <c r="G54" s="139"/>
      <c r="H54" s="177">
        <f t="shared" si="1"/>
        <v>0</v>
      </c>
    </row>
    <row r="55" spans="1:8" x14ac:dyDescent="0.3">
      <c r="A55" s="31" t="s">
        <v>56</v>
      </c>
      <c r="B55" s="103"/>
      <c r="C55" s="104"/>
      <c r="D55" s="104" t="s">
        <v>57</v>
      </c>
      <c r="E55" s="139"/>
      <c r="F55" s="283"/>
      <c r="G55" s="139"/>
      <c r="H55" s="177">
        <f t="shared" si="1"/>
        <v>0</v>
      </c>
    </row>
    <row r="56" spans="1:8" x14ac:dyDescent="0.3">
      <c r="A56" s="31" t="s">
        <v>58</v>
      </c>
      <c r="B56" s="139"/>
      <c r="C56" s="139"/>
      <c r="D56" s="139" t="s">
        <v>57</v>
      </c>
      <c r="E56" s="139"/>
      <c r="F56" s="283"/>
      <c r="G56" s="139"/>
      <c r="H56" s="177">
        <f t="shared" si="1"/>
        <v>0</v>
      </c>
    </row>
    <row r="57" spans="1:8" x14ac:dyDescent="0.3">
      <c r="A57" s="31" t="s">
        <v>61</v>
      </c>
      <c r="B57" s="139"/>
      <c r="C57" s="139"/>
      <c r="D57" s="139" t="s">
        <v>57</v>
      </c>
      <c r="E57" s="139"/>
      <c r="F57" s="283"/>
      <c r="G57" s="139"/>
      <c r="H57" s="177">
        <f t="shared" si="1"/>
        <v>0</v>
      </c>
    </row>
    <row r="58" spans="1:8" x14ac:dyDescent="0.3">
      <c r="A58" s="31" t="s">
        <v>54</v>
      </c>
      <c r="B58" s="139"/>
      <c r="C58" s="139"/>
      <c r="D58" s="139" t="s">
        <v>55</v>
      </c>
      <c r="E58" s="139">
        <v>20</v>
      </c>
      <c r="F58" s="283">
        <f>ROUNDUP(C58/E58,0)</f>
        <v>0</v>
      </c>
      <c r="G58" s="139"/>
      <c r="H58" s="177">
        <f t="shared" si="1"/>
        <v>0</v>
      </c>
    </row>
    <row r="59" spans="1:8" x14ac:dyDescent="0.3">
      <c r="B59" s="263" t="s">
        <v>65</v>
      </c>
      <c r="C59" s="264"/>
      <c r="D59" s="264"/>
      <c r="E59" s="264"/>
      <c r="F59" s="285"/>
      <c r="G59" s="264"/>
      <c r="H59" s="264"/>
    </row>
    <row r="60" spans="1:8" x14ac:dyDescent="0.3">
      <c r="A60" s="31" t="s">
        <v>54</v>
      </c>
      <c r="B60" s="139"/>
      <c r="C60" s="139"/>
      <c r="D60" s="139" t="s">
        <v>55</v>
      </c>
      <c r="E60" s="139">
        <v>20</v>
      </c>
      <c r="F60" s="283">
        <f>ROUNDUP(C60/E60,0)</f>
        <v>0</v>
      </c>
      <c r="G60" s="139"/>
      <c r="H60" s="177">
        <f t="shared" si="1"/>
        <v>0</v>
      </c>
    </row>
    <row r="61" spans="1:8" x14ac:dyDescent="0.3">
      <c r="A61" s="31" t="s">
        <v>56</v>
      </c>
      <c r="B61" s="139"/>
      <c r="C61" s="139"/>
      <c r="D61" s="139" t="s">
        <v>57</v>
      </c>
      <c r="E61" s="139"/>
      <c r="F61" s="283"/>
      <c r="G61" s="139"/>
      <c r="H61" s="177">
        <f t="shared" si="1"/>
        <v>0</v>
      </c>
    </row>
    <row r="62" spans="1:8" x14ac:dyDescent="0.3">
      <c r="A62" s="31" t="s">
        <v>58</v>
      </c>
      <c r="B62" s="139"/>
      <c r="C62" s="139"/>
      <c r="D62" s="139" t="s">
        <v>57</v>
      </c>
      <c r="E62" s="139"/>
      <c r="F62" s="283"/>
      <c r="G62" s="139"/>
      <c r="H62" s="177">
        <f t="shared" si="1"/>
        <v>0</v>
      </c>
    </row>
    <row r="63" spans="1:8" x14ac:dyDescent="0.3">
      <c r="A63" s="31" t="s">
        <v>60</v>
      </c>
      <c r="B63" s="103"/>
      <c r="C63" s="104"/>
      <c r="D63" s="104" t="s">
        <v>57</v>
      </c>
      <c r="E63" s="139"/>
      <c r="F63" s="283"/>
      <c r="G63" s="139"/>
      <c r="H63" s="177">
        <f t="shared" si="1"/>
        <v>0</v>
      </c>
    </row>
    <row r="64" spans="1:8" x14ac:dyDescent="0.3">
      <c r="A64" s="31" t="s">
        <v>56</v>
      </c>
      <c r="B64" s="103"/>
      <c r="C64" s="104"/>
      <c r="D64" s="104" t="s">
        <v>57</v>
      </c>
      <c r="E64" s="139"/>
      <c r="F64" s="283"/>
      <c r="G64" s="139"/>
      <c r="H64" s="177">
        <f t="shared" si="1"/>
        <v>0</v>
      </c>
    </row>
    <row r="65" spans="1:8" x14ac:dyDescent="0.3">
      <c r="A65" s="31" t="s">
        <v>58</v>
      </c>
      <c r="B65" s="139"/>
      <c r="C65" s="139"/>
      <c r="D65" s="139" t="s">
        <v>57</v>
      </c>
      <c r="E65" s="139"/>
      <c r="F65" s="283"/>
      <c r="G65" s="139"/>
      <c r="H65" s="177">
        <f t="shared" si="1"/>
        <v>0</v>
      </c>
    </row>
    <row r="66" spans="1:8" x14ac:dyDescent="0.3">
      <c r="A66" s="31" t="s">
        <v>61</v>
      </c>
      <c r="B66" s="139"/>
      <c r="C66" s="139"/>
      <c r="D66" s="139" t="s">
        <v>57</v>
      </c>
      <c r="E66" s="139"/>
      <c r="F66" s="283"/>
      <c r="G66" s="139"/>
      <c r="H66" s="177">
        <f t="shared" si="1"/>
        <v>0</v>
      </c>
    </row>
    <row r="67" spans="1:8" x14ac:dyDescent="0.3">
      <c r="A67" s="31" t="s">
        <v>54</v>
      </c>
      <c r="B67" s="139"/>
      <c r="C67" s="139"/>
      <c r="D67" s="139" t="s">
        <v>55</v>
      </c>
      <c r="E67" s="139">
        <v>20</v>
      </c>
      <c r="F67" s="283">
        <f>ROUNDUP(C67/E67,0)</f>
        <v>0</v>
      </c>
      <c r="G67" s="139"/>
      <c r="H67" s="177">
        <f t="shared" si="1"/>
        <v>0</v>
      </c>
    </row>
    <row r="68" spans="1:8" x14ac:dyDescent="0.3">
      <c r="B68" s="139"/>
      <c r="C68" s="139"/>
      <c r="D68" s="139"/>
      <c r="E68" s="139"/>
      <c r="F68" s="283"/>
      <c r="G68" s="139"/>
      <c r="H68" s="177">
        <f t="shared" si="1"/>
        <v>0</v>
      </c>
    </row>
    <row r="69" spans="1:8" x14ac:dyDescent="0.3">
      <c r="A69" s="31" t="s">
        <v>54</v>
      </c>
      <c r="B69" s="139"/>
      <c r="C69" s="139"/>
      <c r="D69" s="139" t="s">
        <v>55</v>
      </c>
      <c r="E69" s="139">
        <v>20</v>
      </c>
      <c r="F69" s="283">
        <f>ROUNDUP(C69/E69,0)</f>
        <v>0</v>
      </c>
      <c r="G69" s="139"/>
      <c r="H69" s="177">
        <f t="shared" si="1"/>
        <v>0</v>
      </c>
    </row>
    <row r="70" spans="1:8" x14ac:dyDescent="0.3">
      <c r="B70" s="139"/>
      <c r="C70" s="139"/>
      <c r="D70" s="139"/>
      <c r="E70" s="139"/>
      <c r="F70" s="283"/>
      <c r="G70" s="139"/>
      <c r="H70" s="177">
        <f t="shared" si="1"/>
        <v>0</v>
      </c>
    </row>
    <row r="71" spans="1:8" x14ac:dyDescent="0.3">
      <c r="A71" s="31" t="s">
        <v>60</v>
      </c>
      <c r="B71" s="103"/>
      <c r="C71" s="104"/>
      <c r="D71" s="104" t="s">
        <v>57</v>
      </c>
      <c r="E71" s="139"/>
      <c r="F71" s="283"/>
      <c r="G71" s="139"/>
      <c r="H71" s="177">
        <f t="shared" si="1"/>
        <v>0</v>
      </c>
    </row>
    <row r="72" spans="1:8" x14ac:dyDescent="0.3">
      <c r="A72" s="31" t="s">
        <v>56</v>
      </c>
      <c r="B72" s="103"/>
      <c r="C72" s="104"/>
      <c r="D72" s="104" t="s">
        <v>57</v>
      </c>
      <c r="E72" s="139"/>
      <c r="F72" s="283"/>
      <c r="G72" s="139"/>
      <c r="H72" s="177">
        <f t="shared" si="1"/>
        <v>0</v>
      </c>
    </row>
    <row r="73" spans="1:8" x14ac:dyDescent="0.3">
      <c r="A73" s="31" t="s">
        <v>58</v>
      </c>
      <c r="B73" s="139"/>
      <c r="C73" s="139"/>
      <c r="D73" s="139" t="s">
        <v>57</v>
      </c>
      <c r="E73" s="139"/>
      <c r="F73" s="283"/>
      <c r="G73" s="139"/>
      <c r="H73" s="177">
        <f t="shared" si="1"/>
        <v>0</v>
      </c>
    </row>
    <row r="74" spans="1:8" x14ac:dyDescent="0.3">
      <c r="A74" s="31" t="s">
        <v>61</v>
      </c>
      <c r="B74" s="139"/>
      <c r="C74" s="139"/>
      <c r="D74" s="139" t="s">
        <v>57</v>
      </c>
      <c r="E74" s="139"/>
      <c r="F74" s="283"/>
      <c r="G74" s="139"/>
      <c r="H74" s="177">
        <f t="shared" si="1"/>
        <v>0</v>
      </c>
    </row>
    <row r="75" spans="1:8" x14ac:dyDescent="0.3">
      <c r="A75" s="31" t="s">
        <v>54</v>
      </c>
      <c r="B75" s="139"/>
      <c r="C75" s="139"/>
      <c r="D75" s="139" t="s">
        <v>55</v>
      </c>
      <c r="E75" s="139">
        <v>20</v>
      </c>
      <c r="F75" s="283">
        <f>ROUNDUP(C75/E75,0)</f>
        <v>0</v>
      </c>
      <c r="G75" s="139"/>
      <c r="H75" s="177">
        <f t="shared" si="1"/>
        <v>0</v>
      </c>
    </row>
    <row r="76" spans="1:8" x14ac:dyDescent="0.3">
      <c r="B76" s="139"/>
      <c r="C76" s="139"/>
      <c r="D76" s="139"/>
      <c r="E76" s="139"/>
      <c r="F76" s="283"/>
      <c r="G76" s="139"/>
      <c r="H76" s="177">
        <f t="shared" si="1"/>
        <v>0</v>
      </c>
    </row>
    <row r="77" spans="1:8" x14ac:dyDescent="0.3">
      <c r="A77" s="31" t="s">
        <v>62</v>
      </c>
      <c r="B77" s="139"/>
      <c r="C77" s="139"/>
      <c r="D77" s="139" t="s">
        <v>57</v>
      </c>
      <c r="E77" s="139"/>
      <c r="F77" s="283"/>
      <c r="G77" s="139"/>
      <c r="H77" s="177">
        <f t="shared" si="1"/>
        <v>0</v>
      </c>
    </row>
    <row r="78" spans="1:8" x14ac:dyDescent="0.3">
      <c r="B78" s="139"/>
      <c r="C78" s="139"/>
      <c r="D78" s="139"/>
      <c r="E78" s="139"/>
      <c r="F78" s="283"/>
      <c r="G78" s="139"/>
      <c r="H78" s="177">
        <f t="shared" si="1"/>
        <v>0</v>
      </c>
    </row>
    <row r="79" spans="1:8" x14ac:dyDescent="0.3">
      <c r="A79" s="31" t="s">
        <v>54</v>
      </c>
      <c r="B79" s="139"/>
      <c r="C79" s="139"/>
      <c r="D79" s="139" t="s">
        <v>55</v>
      </c>
      <c r="E79" s="139">
        <v>20</v>
      </c>
      <c r="F79" s="283">
        <f>ROUNDUP(C79/E79,0)</f>
        <v>0</v>
      </c>
      <c r="G79" s="139"/>
      <c r="H79" s="177">
        <f t="shared" si="1"/>
        <v>0</v>
      </c>
    </row>
    <row r="80" spans="1:8" x14ac:dyDescent="0.3">
      <c r="B80" s="139"/>
      <c r="C80" s="139"/>
      <c r="D80" s="139"/>
      <c r="E80" s="139"/>
      <c r="F80" s="283"/>
      <c r="G80" s="139"/>
      <c r="H80" s="177">
        <f t="shared" si="1"/>
        <v>0</v>
      </c>
    </row>
    <row r="81" spans="1:8" x14ac:dyDescent="0.3">
      <c r="A81" s="31" t="s">
        <v>60</v>
      </c>
      <c r="B81" s="103"/>
      <c r="C81" s="104"/>
      <c r="D81" s="104" t="s">
        <v>57</v>
      </c>
      <c r="E81" s="139"/>
      <c r="F81" s="283"/>
      <c r="G81" s="139"/>
      <c r="H81" s="177">
        <f t="shared" si="1"/>
        <v>0</v>
      </c>
    </row>
    <row r="82" spans="1:8" x14ac:dyDescent="0.3">
      <c r="A82" s="31" t="s">
        <v>56</v>
      </c>
      <c r="B82" s="103"/>
      <c r="C82" s="104"/>
      <c r="D82" s="104" t="s">
        <v>57</v>
      </c>
      <c r="E82" s="139"/>
      <c r="F82" s="283"/>
      <c r="G82" s="139"/>
      <c r="H82" s="177">
        <f t="shared" si="1"/>
        <v>0</v>
      </c>
    </row>
    <row r="83" spans="1:8" x14ac:dyDescent="0.3">
      <c r="A83" s="31" t="s">
        <v>58</v>
      </c>
      <c r="B83" s="139"/>
      <c r="C83" s="139"/>
      <c r="D83" s="139" t="s">
        <v>57</v>
      </c>
      <c r="E83" s="139"/>
      <c r="F83" s="283"/>
      <c r="G83" s="139"/>
      <c r="H83" s="177">
        <f t="shared" si="1"/>
        <v>0</v>
      </c>
    </row>
    <row r="84" spans="1:8" x14ac:dyDescent="0.3">
      <c r="A84" s="31" t="s">
        <v>61</v>
      </c>
      <c r="B84" s="139"/>
      <c r="C84" s="139"/>
      <c r="D84" s="139" t="s">
        <v>57</v>
      </c>
      <c r="E84" s="139"/>
      <c r="F84" s="283"/>
      <c r="G84" s="139"/>
      <c r="H84" s="177">
        <f t="shared" si="1"/>
        <v>0</v>
      </c>
    </row>
    <row r="85" spans="1:8" x14ac:dyDescent="0.3">
      <c r="A85" s="31" t="s">
        <v>54</v>
      </c>
      <c r="B85" s="139"/>
      <c r="C85" s="139"/>
      <c r="D85" s="139" t="s">
        <v>55</v>
      </c>
      <c r="E85" s="139">
        <v>20</v>
      </c>
      <c r="F85" s="283">
        <f>C85/E85</f>
        <v>0</v>
      </c>
      <c r="G85" s="139"/>
      <c r="H85" s="177">
        <f t="shared" si="1"/>
        <v>0</v>
      </c>
    </row>
    <row r="86" spans="1:8" x14ac:dyDescent="0.3">
      <c r="B86" s="139"/>
      <c r="C86" s="139"/>
      <c r="D86" s="139"/>
      <c r="E86" s="139"/>
      <c r="F86" s="283"/>
      <c r="G86" s="139"/>
      <c r="H86" s="177">
        <f t="shared" si="1"/>
        <v>0</v>
      </c>
    </row>
    <row r="87" spans="1:8" x14ac:dyDescent="0.3">
      <c r="A87" s="31" t="s">
        <v>62</v>
      </c>
      <c r="B87" s="139"/>
      <c r="C87" s="139"/>
      <c r="D87" s="139" t="s">
        <v>57</v>
      </c>
      <c r="E87" s="139"/>
      <c r="F87" s="283"/>
      <c r="G87" s="139"/>
      <c r="H87" s="177">
        <f t="shared" si="1"/>
        <v>0</v>
      </c>
    </row>
    <row r="88" spans="1:8" x14ac:dyDescent="0.3">
      <c r="B88" s="139"/>
      <c r="C88" s="139"/>
      <c r="D88" s="139"/>
      <c r="E88" s="139"/>
      <c r="F88" s="283"/>
      <c r="G88" s="139"/>
      <c r="H88" s="177">
        <f t="shared" si="1"/>
        <v>0</v>
      </c>
    </row>
    <row r="89" spans="1:8" x14ac:dyDescent="0.3">
      <c r="A89" s="31" t="s">
        <v>54</v>
      </c>
      <c r="B89" s="139"/>
      <c r="C89" s="139"/>
      <c r="D89" s="139" t="s">
        <v>55</v>
      </c>
      <c r="E89" s="139">
        <v>20</v>
      </c>
      <c r="F89" s="283">
        <f>ROUNDUP(C89/E89,0)</f>
        <v>0</v>
      </c>
      <c r="G89" s="139"/>
      <c r="H89" s="177">
        <f>IF(F89="",C89*G89,F89*G89)</f>
        <v>0</v>
      </c>
    </row>
    <row r="90" spans="1:8" x14ac:dyDescent="0.3">
      <c r="B90" s="139"/>
      <c r="C90" s="139"/>
      <c r="D90" s="139"/>
      <c r="E90" s="139"/>
      <c r="F90" s="283"/>
      <c r="G90" s="139"/>
      <c r="H90" s="177">
        <f>IF(F90="",C90*G90,F90*G90)</f>
        <v>0</v>
      </c>
    </row>
    <row r="91" spans="1:8" x14ac:dyDescent="0.3">
      <c r="A91" s="31" t="s">
        <v>60</v>
      </c>
      <c r="B91" s="103"/>
      <c r="C91" s="104"/>
      <c r="D91" s="104" t="s">
        <v>57</v>
      </c>
      <c r="E91" s="139"/>
      <c r="F91" s="283"/>
      <c r="G91" s="139"/>
      <c r="H91" s="177">
        <f t="shared" si="1"/>
        <v>0</v>
      </c>
    </row>
    <row r="92" spans="1:8" x14ac:dyDescent="0.3">
      <c r="A92" s="31" t="s">
        <v>56</v>
      </c>
      <c r="B92" s="103"/>
      <c r="C92" s="104"/>
      <c r="D92" s="104" t="s">
        <v>57</v>
      </c>
      <c r="E92" s="139"/>
      <c r="F92" s="283"/>
      <c r="G92" s="139"/>
      <c r="H92" s="177">
        <f t="shared" si="1"/>
        <v>0</v>
      </c>
    </row>
    <row r="93" spans="1:8" x14ac:dyDescent="0.3">
      <c r="A93" s="31" t="s">
        <v>58</v>
      </c>
      <c r="B93" s="139"/>
      <c r="C93" s="139"/>
      <c r="D93" s="139" t="s">
        <v>57</v>
      </c>
      <c r="E93" s="139"/>
      <c r="F93" s="283"/>
      <c r="G93" s="139"/>
      <c r="H93" s="177">
        <f t="shared" si="1"/>
        <v>0</v>
      </c>
    </row>
    <row r="94" spans="1:8" x14ac:dyDescent="0.3">
      <c r="A94" s="31" t="s">
        <v>61</v>
      </c>
      <c r="B94" s="139"/>
      <c r="C94" s="139"/>
      <c r="D94" s="139" t="s">
        <v>57</v>
      </c>
      <c r="E94" s="139"/>
      <c r="F94" s="283"/>
      <c r="G94" s="139"/>
      <c r="H94" s="177">
        <f t="shared" si="1"/>
        <v>0</v>
      </c>
    </row>
    <row r="95" spans="1:8" x14ac:dyDescent="0.3">
      <c r="A95" s="31" t="s">
        <v>54</v>
      </c>
      <c r="B95" s="139"/>
      <c r="C95" s="139"/>
      <c r="D95" s="139" t="s">
        <v>55</v>
      </c>
      <c r="E95" s="139">
        <v>20</v>
      </c>
      <c r="F95" s="283">
        <f>C95/E95</f>
        <v>0</v>
      </c>
      <c r="G95" s="139"/>
      <c r="H95" s="177">
        <f t="shared" si="1"/>
        <v>0</v>
      </c>
    </row>
    <row r="96" spans="1:8" x14ac:dyDescent="0.3">
      <c r="B96" s="139"/>
      <c r="C96" s="139"/>
      <c r="D96" s="139"/>
      <c r="E96" s="139"/>
      <c r="F96" s="283"/>
      <c r="G96" s="139"/>
      <c r="H96" s="177">
        <f t="shared" si="1"/>
        <v>0</v>
      </c>
    </row>
    <row r="97" spans="1:8" x14ac:dyDescent="0.3">
      <c r="A97" s="31" t="s">
        <v>54</v>
      </c>
      <c r="B97" s="139"/>
      <c r="C97" s="139"/>
      <c r="D97" s="139" t="s">
        <v>55</v>
      </c>
      <c r="E97" s="139">
        <v>20</v>
      </c>
      <c r="F97" s="283">
        <f>ROUNDUP(C97/E97,0)</f>
        <v>0</v>
      </c>
      <c r="G97" s="139"/>
      <c r="H97" s="177">
        <f t="shared" si="1"/>
        <v>0</v>
      </c>
    </row>
    <row r="98" spans="1:8" x14ac:dyDescent="0.3">
      <c r="B98" s="139"/>
      <c r="C98" s="139"/>
      <c r="D98" s="139"/>
      <c r="E98" s="139"/>
      <c r="F98" s="283"/>
      <c r="G98" s="139"/>
      <c r="H98" s="177">
        <f t="shared" si="1"/>
        <v>0</v>
      </c>
    </row>
    <row r="99" spans="1:8" x14ac:dyDescent="0.3">
      <c r="A99" s="31" t="s">
        <v>60</v>
      </c>
      <c r="B99" s="103"/>
      <c r="C99" s="104"/>
      <c r="D99" s="104" t="s">
        <v>57</v>
      </c>
      <c r="E99" s="139"/>
      <c r="F99" s="283"/>
      <c r="G99" s="139"/>
      <c r="H99" s="177">
        <f t="shared" si="1"/>
        <v>0</v>
      </c>
    </row>
    <row r="100" spans="1:8" x14ac:dyDescent="0.3">
      <c r="A100" s="31" t="s">
        <v>56</v>
      </c>
      <c r="B100" s="103"/>
      <c r="C100" s="104"/>
      <c r="D100" s="104" t="s">
        <v>57</v>
      </c>
      <c r="E100" s="139"/>
      <c r="F100" s="283"/>
      <c r="G100" s="139"/>
      <c r="H100" s="177">
        <f t="shared" ref="H100:H150" si="2">IF(F100="",C100*G100,F100*G100)</f>
        <v>0</v>
      </c>
    </row>
    <row r="101" spans="1:8" x14ac:dyDescent="0.3">
      <c r="A101" s="31" t="s">
        <v>58</v>
      </c>
      <c r="B101" s="139"/>
      <c r="C101" s="139"/>
      <c r="D101" s="139" t="s">
        <v>57</v>
      </c>
      <c r="E101" s="139"/>
      <c r="F101" s="283"/>
      <c r="G101" s="139"/>
      <c r="H101" s="177">
        <f t="shared" si="2"/>
        <v>0</v>
      </c>
    </row>
    <row r="102" spans="1:8" x14ac:dyDescent="0.3">
      <c r="A102" s="31" t="s">
        <v>61</v>
      </c>
      <c r="B102" s="139"/>
      <c r="C102" s="139"/>
      <c r="D102" s="139" t="s">
        <v>57</v>
      </c>
      <c r="E102" s="139"/>
      <c r="F102" s="283"/>
      <c r="G102" s="139"/>
      <c r="H102" s="177">
        <f t="shared" si="2"/>
        <v>0</v>
      </c>
    </row>
    <row r="103" spans="1:8" x14ac:dyDescent="0.3">
      <c r="A103" s="31" t="s">
        <v>54</v>
      </c>
      <c r="B103" s="139"/>
      <c r="C103" s="139"/>
      <c r="D103" s="139" t="s">
        <v>55</v>
      </c>
      <c r="E103" s="139">
        <v>20</v>
      </c>
      <c r="F103" s="283">
        <f>C103/E103</f>
        <v>0</v>
      </c>
      <c r="G103" s="139"/>
      <c r="H103" s="177">
        <f t="shared" si="2"/>
        <v>0</v>
      </c>
    </row>
    <row r="104" spans="1:8" x14ac:dyDescent="0.3">
      <c r="B104" s="139"/>
      <c r="C104" s="139"/>
      <c r="D104" s="139"/>
      <c r="E104" s="139"/>
      <c r="F104" s="283"/>
      <c r="G104" s="139"/>
      <c r="H104" s="177">
        <f t="shared" si="2"/>
        <v>0</v>
      </c>
    </row>
    <row r="105" spans="1:8" x14ac:dyDescent="0.3">
      <c r="A105" s="31" t="s">
        <v>54</v>
      </c>
      <c r="B105" s="139"/>
      <c r="C105" s="139"/>
      <c r="D105" s="139" t="s">
        <v>55</v>
      </c>
      <c r="E105" s="139">
        <v>20</v>
      </c>
      <c r="F105" s="283">
        <f>ROUNDUP(C105/E105,0)</f>
        <v>0</v>
      </c>
      <c r="G105" s="139"/>
      <c r="H105" s="177">
        <f t="shared" si="2"/>
        <v>0</v>
      </c>
    </row>
    <row r="106" spans="1:8" x14ac:dyDescent="0.3">
      <c r="B106" s="139"/>
      <c r="C106" s="139"/>
      <c r="D106" s="139"/>
      <c r="E106" s="139"/>
      <c r="F106" s="283"/>
      <c r="G106" s="139"/>
      <c r="H106" s="177">
        <f t="shared" si="2"/>
        <v>0</v>
      </c>
    </row>
    <row r="107" spans="1:8" x14ac:dyDescent="0.3">
      <c r="A107" s="31" t="s">
        <v>60</v>
      </c>
      <c r="B107" s="103"/>
      <c r="C107" s="104"/>
      <c r="D107" s="104" t="s">
        <v>57</v>
      </c>
      <c r="E107" s="139"/>
      <c r="F107" s="283"/>
      <c r="G107" s="139"/>
      <c r="H107" s="177">
        <f t="shared" si="2"/>
        <v>0</v>
      </c>
    </row>
    <row r="108" spans="1:8" x14ac:dyDescent="0.3">
      <c r="A108" s="31" t="s">
        <v>56</v>
      </c>
      <c r="B108" s="103"/>
      <c r="C108" s="104"/>
      <c r="D108" s="104" t="s">
        <v>57</v>
      </c>
      <c r="E108" s="139"/>
      <c r="F108" s="283"/>
      <c r="G108" s="139"/>
      <c r="H108" s="177">
        <f t="shared" si="2"/>
        <v>0</v>
      </c>
    </row>
    <row r="109" spans="1:8" x14ac:dyDescent="0.3">
      <c r="A109" s="31" t="s">
        <v>58</v>
      </c>
      <c r="B109" s="139"/>
      <c r="C109" s="139"/>
      <c r="D109" s="139" t="s">
        <v>57</v>
      </c>
      <c r="E109" s="139"/>
      <c r="F109" s="283"/>
      <c r="G109" s="139"/>
      <c r="H109" s="177">
        <f t="shared" si="2"/>
        <v>0</v>
      </c>
    </row>
    <row r="110" spans="1:8" x14ac:dyDescent="0.3">
      <c r="A110" s="31" t="s">
        <v>61</v>
      </c>
      <c r="B110" s="139"/>
      <c r="C110" s="139"/>
      <c r="D110" s="139" t="s">
        <v>57</v>
      </c>
      <c r="E110" s="139"/>
      <c r="F110" s="283"/>
      <c r="G110" s="139"/>
      <c r="H110" s="177">
        <f t="shared" si="2"/>
        <v>0</v>
      </c>
    </row>
    <row r="111" spans="1:8" x14ac:dyDescent="0.3">
      <c r="A111" s="31" t="s">
        <v>54</v>
      </c>
      <c r="B111" s="139"/>
      <c r="C111" s="139"/>
      <c r="D111" s="139" t="s">
        <v>55</v>
      </c>
      <c r="E111" s="139">
        <v>20</v>
      </c>
      <c r="F111" s="283">
        <f>ROUNDUP(C111/E111,0)</f>
        <v>0</v>
      </c>
      <c r="G111" s="139"/>
      <c r="H111" s="177">
        <f t="shared" si="2"/>
        <v>0</v>
      </c>
    </row>
    <row r="112" spans="1:8" x14ac:dyDescent="0.3">
      <c r="B112" s="139"/>
      <c r="C112" s="139"/>
      <c r="D112" s="139"/>
      <c r="E112" s="139"/>
      <c r="F112" s="283"/>
      <c r="G112" s="139"/>
      <c r="H112" s="177">
        <f t="shared" si="2"/>
        <v>0</v>
      </c>
    </row>
    <row r="113" spans="1:8" x14ac:dyDescent="0.3">
      <c r="A113" s="31" t="s">
        <v>62</v>
      </c>
      <c r="B113" s="139"/>
      <c r="C113" s="139"/>
      <c r="D113" s="139" t="s">
        <v>57</v>
      </c>
      <c r="E113" s="139"/>
      <c r="F113" s="283"/>
      <c r="G113" s="139"/>
      <c r="H113" s="177">
        <f t="shared" si="2"/>
        <v>0</v>
      </c>
    </row>
    <row r="114" spans="1:8" x14ac:dyDescent="0.3">
      <c r="B114" s="139"/>
      <c r="C114" s="139"/>
      <c r="D114" s="139"/>
      <c r="E114" s="139"/>
      <c r="F114" s="283"/>
      <c r="G114" s="139"/>
      <c r="H114" s="177">
        <f t="shared" si="2"/>
        <v>0</v>
      </c>
    </row>
    <row r="115" spans="1:8" x14ac:dyDescent="0.3">
      <c r="A115" s="31" t="s">
        <v>54</v>
      </c>
      <c r="B115" s="139"/>
      <c r="C115" s="139"/>
      <c r="D115" s="139" t="s">
        <v>55</v>
      </c>
      <c r="E115" s="139">
        <v>20</v>
      </c>
      <c r="F115" s="283">
        <f>ROUNDUP(C115/E115,0)</f>
        <v>0</v>
      </c>
      <c r="G115" s="139"/>
      <c r="H115" s="177">
        <f t="shared" si="2"/>
        <v>0</v>
      </c>
    </row>
    <row r="116" spans="1:8" x14ac:dyDescent="0.3">
      <c r="B116" s="139"/>
      <c r="C116" s="139"/>
      <c r="D116" s="139"/>
      <c r="E116" s="139"/>
      <c r="F116" s="283"/>
      <c r="G116" s="139"/>
      <c r="H116" s="177">
        <f t="shared" si="2"/>
        <v>0</v>
      </c>
    </row>
    <row r="117" spans="1:8" x14ac:dyDescent="0.3">
      <c r="A117" s="31" t="s">
        <v>64</v>
      </c>
      <c r="B117" s="103"/>
      <c r="C117" s="104"/>
      <c r="D117" s="104" t="s">
        <v>57</v>
      </c>
      <c r="E117" s="139"/>
      <c r="F117" s="283"/>
      <c r="G117" s="139"/>
      <c r="H117" s="177">
        <f t="shared" si="2"/>
        <v>0</v>
      </c>
    </row>
    <row r="118" spans="1:8" x14ac:dyDescent="0.3">
      <c r="A118" s="31" t="s">
        <v>56</v>
      </c>
      <c r="B118" s="103"/>
      <c r="C118" s="104"/>
      <c r="D118" s="104" t="s">
        <v>57</v>
      </c>
      <c r="E118" s="139"/>
      <c r="F118" s="283"/>
      <c r="G118" s="139"/>
      <c r="H118" s="177">
        <f t="shared" si="2"/>
        <v>0</v>
      </c>
    </row>
    <row r="119" spans="1:8" x14ac:dyDescent="0.3">
      <c r="A119" s="31" t="s">
        <v>58</v>
      </c>
      <c r="B119" s="139"/>
      <c r="C119" s="139"/>
      <c r="D119" s="139" t="s">
        <v>57</v>
      </c>
      <c r="E119" s="139"/>
      <c r="F119" s="283"/>
      <c r="G119" s="139"/>
      <c r="H119" s="177">
        <f t="shared" si="2"/>
        <v>0</v>
      </c>
    </row>
    <row r="120" spans="1:8" x14ac:dyDescent="0.3">
      <c r="A120" s="31" t="s">
        <v>61</v>
      </c>
      <c r="B120" s="139"/>
      <c r="C120" s="139"/>
      <c r="D120" s="139" t="s">
        <v>57</v>
      </c>
      <c r="E120" s="139"/>
      <c r="F120" s="283"/>
      <c r="G120" s="139"/>
      <c r="H120" s="177">
        <f t="shared" si="2"/>
        <v>0</v>
      </c>
    </row>
    <row r="121" spans="1:8" x14ac:dyDescent="0.3">
      <c r="A121" s="31" t="s">
        <v>54</v>
      </c>
      <c r="B121" s="139"/>
      <c r="C121" s="139"/>
      <c r="D121" s="139" t="s">
        <v>55</v>
      </c>
      <c r="E121" s="139">
        <v>20</v>
      </c>
      <c r="F121" s="283">
        <f>ROUNDUP(C121/E121,0)</f>
        <v>0</v>
      </c>
      <c r="G121" s="139"/>
      <c r="H121" s="177">
        <f t="shared" si="2"/>
        <v>0</v>
      </c>
    </row>
    <row r="122" spans="1:8" x14ac:dyDescent="0.3">
      <c r="B122" s="139"/>
      <c r="C122" s="139"/>
      <c r="D122" s="139"/>
      <c r="E122" s="139"/>
      <c r="F122" s="283"/>
      <c r="G122" s="139"/>
      <c r="H122" s="177">
        <f t="shared" si="2"/>
        <v>0</v>
      </c>
    </row>
    <row r="123" spans="1:8" x14ac:dyDescent="0.3">
      <c r="B123" s="139"/>
      <c r="C123" s="139"/>
      <c r="D123" s="139"/>
      <c r="E123" s="139"/>
      <c r="F123" s="283"/>
      <c r="G123" s="139"/>
      <c r="H123" s="177">
        <f t="shared" si="2"/>
        <v>0</v>
      </c>
    </row>
    <row r="124" spans="1:8" x14ac:dyDescent="0.3">
      <c r="B124" s="139"/>
      <c r="C124" s="139"/>
      <c r="D124" s="139"/>
      <c r="E124" s="139"/>
      <c r="F124" s="283"/>
      <c r="G124" s="139"/>
      <c r="H124" s="177">
        <f t="shared" si="2"/>
        <v>0</v>
      </c>
    </row>
    <row r="125" spans="1:8" x14ac:dyDescent="0.3">
      <c r="B125" s="139"/>
      <c r="C125" s="139"/>
      <c r="D125" s="139"/>
      <c r="E125" s="139"/>
      <c r="F125" s="283"/>
      <c r="G125" s="139"/>
      <c r="H125" s="177">
        <f t="shared" si="2"/>
        <v>0</v>
      </c>
    </row>
    <row r="126" spans="1:8" x14ac:dyDescent="0.3">
      <c r="B126" s="139"/>
      <c r="C126" s="139"/>
      <c r="D126" s="139"/>
      <c r="E126" s="139"/>
      <c r="F126" s="283"/>
      <c r="G126" s="139"/>
      <c r="H126" s="177">
        <f t="shared" si="2"/>
        <v>0</v>
      </c>
    </row>
    <row r="127" spans="1:8" x14ac:dyDescent="0.3">
      <c r="B127" s="139"/>
      <c r="C127" s="139"/>
      <c r="D127" s="139"/>
      <c r="E127" s="139"/>
      <c r="F127" s="283"/>
      <c r="G127" s="139"/>
      <c r="H127" s="177">
        <f t="shared" si="2"/>
        <v>0</v>
      </c>
    </row>
    <row r="128" spans="1:8" x14ac:dyDescent="0.3">
      <c r="B128" s="139"/>
      <c r="C128" s="139"/>
      <c r="D128" s="139"/>
      <c r="E128" s="139"/>
      <c r="F128" s="283"/>
      <c r="G128" s="139"/>
      <c r="H128" s="177">
        <f t="shared" si="2"/>
        <v>0</v>
      </c>
    </row>
    <row r="129" spans="2:8" x14ac:dyDescent="0.3">
      <c r="B129" s="139"/>
      <c r="C129" s="139"/>
      <c r="D129" s="139"/>
      <c r="E129" s="139"/>
      <c r="F129" s="283"/>
      <c r="G129" s="139"/>
      <c r="H129" s="177">
        <f t="shared" si="2"/>
        <v>0</v>
      </c>
    </row>
    <row r="130" spans="2:8" x14ac:dyDescent="0.3">
      <c r="B130" s="139"/>
      <c r="C130" s="139"/>
      <c r="D130" s="139"/>
      <c r="E130" s="139"/>
      <c r="F130" s="283"/>
      <c r="G130" s="139"/>
      <c r="H130" s="177">
        <f t="shared" si="2"/>
        <v>0</v>
      </c>
    </row>
    <row r="131" spans="2:8" x14ac:dyDescent="0.3">
      <c r="B131" s="139"/>
      <c r="C131" s="139"/>
      <c r="D131" s="139"/>
      <c r="E131" s="139"/>
      <c r="F131" s="283"/>
      <c r="G131" s="139"/>
      <c r="H131" s="177">
        <f t="shared" si="2"/>
        <v>0</v>
      </c>
    </row>
    <row r="132" spans="2:8" x14ac:dyDescent="0.3">
      <c r="B132" s="139"/>
      <c r="C132" s="139"/>
      <c r="D132" s="139"/>
      <c r="E132" s="139"/>
      <c r="F132" s="283"/>
      <c r="G132" s="139"/>
      <c r="H132" s="177">
        <f t="shared" si="2"/>
        <v>0</v>
      </c>
    </row>
    <row r="133" spans="2:8" x14ac:dyDescent="0.3">
      <c r="B133" s="139"/>
      <c r="C133" s="139"/>
      <c r="D133" s="139"/>
      <c r="E133" s="139"/>
      <c r="F133" s="283"/>
      <c r="G133" s="139"/>
      <c r="H133" s="177">
        <f t="shared" si="2"/>
        <v>0</v>
      </c>
    </row>
    <row r="134" spans="2:8" x14ac:dyDescent="0.3">
      <c r="B134" s="139"/>
      <c r="C134" s="139"/>
      <c r="D134" s="139"/>
      <c r="E134" s="139"/>
      <c r="F134" s="283"/>
      <c r="G134" s="139"/>
      <c r="H134" s="177">
        <f t="shared" si="2"/>
        <v>0</v>
      </c>
    </row>
    <row r="135" spans="2:8" x14ac:dyDescent="0.3">
      <c r="B135" s="139"/>
      <c r="C135" s="139"/>
      <c r="D135" s="139"/>
      <c r="E135" s="139"/>
      <c r="F135" s="283"/>
      <c r="G135" s="139"/>
      <c r="H135" s="177">
        <f t="shared" si="2"/>
        <v>0</v>
      </c>
    </row>
    <row r="136" spans="2:8" x14ac:dyDescent="0.3">
      <c r="B136" s="139"/>
      <c r="C136" s="139"/>
      <c r="D136" s="139"/>
      <c r="E136" s="139"/>
      <c r="F136" s="283"/>
      <c r="G136" s="139"/>
      <c r="H136" s="177">
        <f t="shared" si="2"/>
        <v>0</v>
      </c>
    </row>
    <row r="137" spans="2:8" x14ac:dyDescent="0.3">
      <c r="B137" s="139"/>
      <c r="C137" s="139"/>
      <c r="D137" s="139"/>
      <c r="E137" s="139"/>
      <c r="F137" s="283"/>
      <c r="G137" s="139"/>
      <c r="H137" s="177">
        <f t="shared" si="2"/>
        <v>0</v>
      </c>
    </row>
    <row r="138" spans="2:8" x14ac:dyDescent="0.3">
      <c r="B138" s="139"/>
      <c r="C138" s="139"/>
      <c r="D138" s="139"/>
      <c r="E138" s="139"/>
      <c r="F138" s="283"/>
      <c r="G138" s="139"/>
      <c r="H138" s="177">
        <f t="shared" si="2"/>
        <v>0</v>
      </c>
    </row>
    <row r="139" spans="2:8" x14ac:dyDescent="0.3">
      <c r="B139" s="139"/>
      <c r="C139" s="139"/>
      <c r="D139" s="139"/>
      <c r="E139" s="139"/>
      <c r="F139" s="283"/>
      <c r="G139" s="139"/>
      <c r="H139" s="177">
        <f t="shared" si="2"/>
        <v>0</v>
      </c>
    </row>
    <row r="140" spans="2:8" x14ac:dyDescent="0.3">
      <c r="B140" s="139"/>
      <c r="C140" s="139"/>
      <c r="D140" s="139"/>
      <c r="E140" s="139"/>
      <c r="F140" s="283"/>
      <c r="G140" s="139"/>
      <c r="H140" s="177">
        <f t="shared" si="2"/>
        <v>0</v>
      </c>
    </row>
    <row r="141" spans="2:8" x14ac:dyDescent="0.3">
      <c r="B141" s="139"/>
      <c r="C141" s="139"/>
      <c r="D141" s="139"/>
      <c r="E141" s="139"/>
      <c r="F141" s="283"/>
      <c r="G141" s="139"/>
      <c r="H141" s="177">
        <f t="shared" si="2"/>
        <v>0</v>
      </c>
    </row>
    <row r="142" spans="2:8" x14ac:dyDescent="0.3">
      <c r="B142" s="139"/>
      <c r="C142" s="139"/>
      <c r="D142" s="139"/>
      <c r="E142" s="139"/>
      <c r="F142" s="283"/>
      <c r="G142" s="139"/>
      <c r="H142" s="177">
        <f t="shared" si="2"/>
        <v>0</v>
      </c>
    </row>
    <row r="143" spans="2:8" x14ac:dyDescent="0.3">
      <c r="B143" s="139"/>
      <c r="C143" s="139"/>
      <c r="D143" s="139"/>
      <c r="E143" s="139"/>
      <c r="F143" s="283"/>
      <c r="G143" s="139"/>
      <c r="H143" s="177">
        <f t="shared" si="2"/>
        <v>0</v>
      </c>
    </row>
    <row r="144" spans="2:8" x14ac:dyDescent="0.3">
      <c r="B144" s="139"/>
      <c r="C144" s="139"/>
      <c r="D144" s="139"/>
      <c r="E144" s="139"/>
      <c r="F144" s="283"/>
      <c r="G144" s="139"/>
      <c r="H144" s="177">
        <f t="shared" si="2"/>
        <v>0</v>
      </c>
    </row>
    <row r="145" spans="2:8" x14ac:dyDescent="0.3">
      <c r="B145" s="139"/>
      <c r="C145" s="139"/>
      <c r="D145" s="139"/>
      <c r="E145" s="139"/>
      <c r="F145" s="283"/>
      <c r="G145" s="139"/>
      <c r="H145" s="177">
        <f t="shared" si="2"/>
        <v>0</v>
      </c>
    </row>
    <row r="146" spans="2:8" x14ac:dyDescent="0.3">
      <c r="B146" s="139"/>
      <c r="C146" s="139"/>
      <c r="D146" s="139"/>
      <c r="E146" s="139"/>
      <c r="F146" s="283"/>
      <c r="G146" s="139"/>
      <c r="H146" s="177">
        <f t="shared" si="2"/>
        <v>0</v>
      </c>
    </row>
    <row r="147" spans="2:8" x14ac:dyDescent="0.3">
      <c r="B147" s="139"/>
      <c r="C147" s="139"/>
      <c r="D147" s="139"/>
      <c r="E147" s="139"/>
      <c r="F147" s="283"/>
      <c r="G147" s="139"/>
      <c r="H147" s="177">
        <f t="shared" si="2"/>
        <v>0</v>
      </c>
    </row>
    <row r="148" spans="2:8" x14ac:dyDescent="0.3">
      <c r="B148" s="139"/>
      <c r="C148" s="139"/>
      <c r="D148" s="139"/>
      <c r="E148" s="139"/>
      <c r="F148" s="283"/>
      <c r="G148" s="139"/>
      <c r="H148" s="177">
        <f t="shared" si="2"/>
        <v>0</v>
      </c>
    </row>
    <row r="149" spans="2:8" x14ac:dyDescent="0.3">
      <c r="B149" s="139"/>
      <c r="C149" s="139"/>
      <c r="D149" s="139"/>
      <c r="E149" s="139"/>
      <c r="F149" s="283"/>
      <c r="G149" s="139"/>
      <c r="H149" s="177">
        <f t="shared" si="2"/>
        <v>0</v>
      </c>
    </row>
    <row r="150" spans="2:8" x14ac:dyDescent="0.3">
      <c r="B150" s="139"/>
      <c r="C150" s="139"/>
      <c r="D150" s="139"/>
      <c r="E150" s="139"/>
      <c r="F150" s="283"/>
      <c r="G150" s="139"/>
      <c r="H150" s="177">
        <f t="shared" si="2"/>
        <v>0</v>
      </c>
    </row>
  </sheetData>
  <autoFilter ref="A4:H150" xr:uid="{00000000-0009-0000-0000-000002000000}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>
    <oddHeader>&amp;C&amp;"Calibri,Bold"&amp;12&amp;UBudget Estimate Template&amp;R&amp;G</oddHeader>
    <oddFooter>&amp;L&amp;F - &amp;A&amp;CPage &amp;P of &amp;N&amp;R&amp;D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W135"/>
  <sheetViews>
    <sheetView topLeftCell="S4" zoomScale="85" zoomScaleNormal="85" workbookViewId="0">
      <selection activeCell="S6" sqref="S6"/>
    </sheetView>
  </sheetViews>
  <sheetFormatPr defaultColWidth="9.21875" defaultRowHeight="13.8" x14ac:dyDescent="0.3"/>
  <cols>
    <col min="1" max="1" width="30.77734375" style="31" hidden="1" customWidth="1"/>
    <col min="2" max="2" width="11.77734375" style="32" hidden="1" customWidth="1"/>
    <col min="3" max="3" width="13.77734375" style="32" hidden="1" customWidth="1"/>
    <col min="4" max="4" width="7" style="32" hidden="1" customWidth="1"/>
    <col min="5" max="5" width="12.21875" style="32" hidden="1" customWidth="1"/>
    <col min="6" max="6" width="9" style="32" hidden="1" customWidth="1"/>
    <col min="7" max="7" width="2.77734375" style="32" hidden="1" customWidth="1"/>
    <col min="8" max="8" width="6.77734375" style="32" hidden="1" customWidth="1"/>
    <col min="9" max="9" width="2.77734375" style="32" hidden="1" customWidth="1"/>
    <col min="10" max="10" width="4.5546875" style="32" hidden="1" customWidth="1"/>
    <col min="11" max="11" width="31" style="31" hidden="1" customWidth="1"/>
    <col min="12" max="12" width="10.77734375" style="32" hidden="1" customWidth="1"/>
    <col min="13" max="13" width="13.77734375" style="32" hidden="1" customWidth="1"/>
    <col min="14" max="14" width="4.77734375" style="32" hidden="1" customWidth="1"/>
    <col min="15" max="15" width="5.21875" style="288" hidden="1" customWidth="1"/>
    <col min="16" max="16" width="6.77734375" style="32" hidden="1" customWidth="1"/>
    <col min="17" max="17" width="2.77734375" style="32" hidden="1" customWidth="1"/>
    <col min="18" max="18" width="4.5546875" style="32" hidden="1" customWidth="1"/>
    <col min="19" max="19" width="40" style="95" customWidth="1"/>
    <col min="20" max="22" width="13.77734375" style="32" customWidth="1"/>
    <col min="23" max="23" width="12.21875" style="31" bestFit="1" customWidth="1"/>
    <col min="24" max="16384" width="9.21875" style="31"/>
  </cols>
  <sheetData>
    <row r="2" spans="1:23" ht="15.6" x14ac:dyDescent="0.3">
      <c r="A2" s="179" t="s">
        <v>66</v>
      </c>
      <c r="C2" s="226" t="s">
        <v>67</v>
      </c>
      <c r="E2" s="226" t="s">
        <v>67</v>
      </c>
      <c r="F2" s="226"/>
      <c r="H2" s="226" t="s">
        <v>67</v>
      </c>
      <c r="K2" s="179" t="s">
        <v>68</v>
      </c>
      <c r="M2" s="226" t="s">
        <v>67</v>
      </c>
      <c r="P2" s="226" t="s">
        <v>67</v>
      </c>
      <c r="S2" s="46" t="s">
        <v>69</v>
      </c>
      <c r="U2" s="194"/>
      <c r="V2" s="194"/>
      <c r="W2" s="96"/>
    </row>
    <row r="3" spans="1:23" ht="69" x14ac:dyDescent="0.3">
      <c r="A3" s="180" t="s">
        <v>70</v>
      </c>
      <c r="B3" s="180" t="s">
        <v>71</v>
      </c>
      <c r="C3" s="180" t="s">
        <v>72</v>
      </c>
      <c r="D3" s="180" t="s">
        <v>73</v>
      </c>
      <c r="E3" s="180" t="s">
        <v>74</v>
      </c>
      <c r="F3" s="180" t="s">
        <v>75</v>
      </c>
      <c r="G3" s="135"/>
      <c r="H3" s="180" t="s">
        <v>76</v>
      </c>
      <c r="I3" s="135"/>
      <c r="J3" s="180" t="s">
        <v>77</v>
      </c>
      <c r="K3" s="180" t="s">
        <v>70</v>
      </c>
      <c r="L3" s="180" t="s">
        <v>71</v>
      </c>
      <c r="M3" s="180" t="s">
        <v>72</v>
      </c>
      <c r="N3" s="180" t="s">
        <v>78</v>
      </c>
      <c r="P3" s="180" t="s">
        <v>76</v>
      </c>
      <c r="Q3" s="135"/>
      <c r="R3" s="180" t="s">
        <v>77</v>
      </c>
      <c r="S3" s="135" t="s">
        <v>70</v>
      </c>
      <c r="T3" s="135" t="s">
        <v>71</v>
      </c>
      <c r="U3" s="135" t="s">
        <v>72</v>
      </c>
      <c r="V3" s="135" t="s">
        <v>73</v>
      </c>
      <c r="W3" s="135"/>
    </row>
    <row r="4" spans="1:23" x14ac:dyDescent="0.3">
      <c r="A4" s="180"/>
      <c r="B4" s="180"/>
      <c r="C4" s="180"/>
      <c r="D4" s="180"/>
      <c r="E4" s="180"/>
      <c r="F4" s="180"/>
      <c r="G4" s="135"/>
      <c r="H4" s="180"/>
      <c r="I4" s="135"/>
      <c r="J4" s="180"/>
      <c r="K4" s="180"/>
      <c r="L4" s="180"/>
      <c r="M4" s="180"/>
      <c r="N4" s="180"/>
      <c r="P4" s="180"/>
      <c r="Q4" s="135"/>
      <c r="R4" s="135"/>
      <c r="S4" s="135"/>
      <c r="T4" s="135"/>
      <c r="U4" s="135"/>
      <c r="V4" s="135"/>
      <c r="W4" s="135"/>
    </row>
    <row r="5" spans="1:23" x14ac:dyDescent="0.3">
      <c r="A5" s="180"/>
      <c r="B5" s="180"/>
      <c r="C5" s="180"/>
      <c r="D5" s="180"/>
      <c r="E5" s="180"/>
      <c r="F5" s="180"/>
      <c r="G5" s="135"/>
      <c r="H5" s="180"/>
      <c r="I5" s="135"/>
      <c r="J5" s="180"/>
      <c r="K5" s="180"/>
      <c r="L5" s="180"/>
      <c r="M5" s="180"/>
      <c r="N5" s="180"/>
      <c r="P5" s="180"/>
      <c r="Q5" s="135"/>
      <c r="R5" s="135"/>
      <c r="S5" s="286" t="s">
        <v>79</v>
      </c>
      <c r="T5" s="188"/>
      <c r="U5" s="189" t="e">
        <f>SUM(U7:U27)</f>
        <v>#N/A</v>
      </c>
      <c r="V5" s="190" t="e">
        <f>SUM(V7:V27)</f>
        <v>#N/A</v>
      </c>
    </row>
    <row r="6" spans="1:23" x14ac:dyDescent="0.3">
      <c r="A6" s="180"/>
      <c r="B6" s="180"/>
      <c r="C6" s="180"/>
      <c r="D6" s="180"/>
      <c r="E6" s="180"/>
      <c r="F6" s="180"/>
      <c r="G6" s="135"/>
      <c r="H6" s="180"/>
      <c r="I6" s="135"/>
      <c r="J6" s="180"/>
      <c r="K6" s="180"/>
      <c r="L6" s="180"/>
      <c r="M6" s="180"/>
      <c r="N6" s="180"/>
      <c r="P6" s="180"/>
      <c r="Q6" s="135"/>
      <c r="R6" s="135"/>
      <c r="U6" s="31"/>
      <c r="V6" s="31"/>
    </row>
    <row r="7" spans="1:23" x14ac:dyDescent="0.3">
      <c r="A7" s="57" t="str">
        <f>IF('Database Lab+Equip'!B2="","Labour Resource",'Database Lab+Equip'!B2)</f>
        <v>Administration</v>
      </c>
      <c r="B7" s="181">
        <f>IF(A7="Labour Resource",0,VLOOKUP(A7,'Database Lab+Equip'!B:D,3,FALSE))</f>
        <v>84</v>
      </c>
      <c r="C7" s="181">
        <f>IF(SUMIF('Installation 1'!B:B,'Budget-Labour Equipment'!A7,'Installation 1'!I:I)+SUMIF('Subcontract 2'!B:B,'Budget-Labour Equipment'!A7,'Subcontract 2'!I:I)+SUMIF('Optional-3'!B:B,'Budget-Labour Equipment'!A7,'Optional-3'!I:I)+SUMIF('Mob-Demob'!B:B,'Budget-Labour Equipment'!A7,'Mob-Demob'!I:I)+SUMIF(Prelims!B:B,'Budget-Labour Equipment'!A7,Prelims!I:I)=0,0,(SUMIF('Installation 1'!B:B,'Budget-Labour Equipment'!A7,'Installation 1'!I:I)+SUMIF('Subcontract 2'!B:B,'Budget-Labour Equipment'!A7,'Subcontract 2'!I:I)+SUMIF('Optional-3'!B:B,'Budget-Labour Equipment'!A7,'Optional-3'!I:I)+SUMIF('Mob-Demob'!B:B,'Budget-Labour Equipment'!A7,'Mob-Demob'!I:I)+SUMIF(Prelims!B:B,'Budget-Labour Equipment'!A7,Prelims!I:I)))</f>
        <v>14112</v>
      </c>
      <c r="D7" s="182">
        <f>IF(B7=0,0,C7/B7)</f>
        <v>168</v>
      </c>
      <c r="E7" s="183">
        <f>D7+0.000001*ROW()</f>
        <v>168.00000700000001</v>
      </c>
      <c r="F7" s="183" t="e">
        <f>RANK(E7,$E$7:$E$27,0)</f>
        <v>#REF!</v>
      </c>
      <c r="H7" s="183" t="e">
        <f>MATCH(J7,$F$7:$F$27,0)</f>
        <v>#N/A</v>
      </c>
      <c r="J7" s="183">
        <v>1</v>
      </c>
      <c r="K7" s="184" t="e">
        <f>IF(VLOOKUP((INDEX($A$7:$A$27,H7)),$A$7:$D$27,4,FALSE)=0,"",(INDEX($A$7:$A$27,H7)))</f>
        <v>#N/A</v>
      </c>
      <c r="L7" s="185" t="e">
        <f>IF(K7="","",VLOOKUP(K7,'Database Lab+Equip'!$B:$D,3,FALSE))</f>
        <v>#N/A</v>
      </c>
      <c r="M7" s="185" t="e">
        <f>IF(K7="","",SUMIF('Installation 1'!$B$3:$B$114,'Budget-Labour Equipment'!K7,'Installation 1'!$I$3:$I$114)+SUMIF('Subcontract 2'!$B$3:$B$142,'Budget-Labour Equipment'!K7,'Subcontract 2'!$I$3:$I$142)+SUMIF('Optional-3'!$B$3:$B$168,'Budget-Labour Equipment'!K7,'Optional-3'!$I$3:$I$168)+SUMIF('Mob-Demob'!$B$10:$B$110,'Budget-Labour Equipment'!K7,'Mob-Demob'!$I$10:$I$110))</f>
        <v>#N/A</v>
      </c>
      <c r="N7" s="186" t="e">
        <f>IF(K7="","",RANK(L7,$L$7:$L$27)+COUNTIF($L$7:L7,L7)-1)</f>
        <v>#N/A</v>
      </c>
      <c r="O7" s="289"/>
      <c r="P7" s="183" t="e">
        <f>MATCH(R7,$N$7:$N$27,0)</f>
        <v>#N/A</v>
      </c>
      <c r="R7" s="32">
        <v>1</v>
      </c>
      <c r="S7" s="31" t="e">
        <f>IF(K7="","",(INDEX($K$7:$K$27,P7,1)))</f>
        <v>#N/A</v>
      </c>
      <c r="T7" s="177" t="e">
        <f>IF(S7="","",VLOOKUP(S7,'Database Lab+Equip'!$B:$D,3,FALSE))</f>
        <v>#N/A</v>
      </c>
      <c r="U7" s="177" t="e">
        <f>IF(S7="","",(SUMIF('Installation 1'!B:B,'Budget-Labour Equipment'!S7,'Installation 1'!I:I)+SUMIF('Subcontract 2'!B:B,'Budget-Labour Equipment'!S7,'Subcontract 2'!I:I)+SUMIF('Optional-3'!B:B,'Budget-Labour Equipment'!S7,'Optional-3'!I:I)+SUMIF('Mob-Demob'!B:B,'Budget-Labour Equipment'!S7,'Mob-Demob'!I:I)+SUMIF(Prelims!B:B,'Budget-Labour Equipment'!S7,Prelims!I:I)))</f>
        <v>#N/A</v>
      </c>
      <c r="V7" s="178" t="e">
        <f>IF(S7="","",U7/T7)</f>
        <v>#N/A</v>
      </c>
    </row>
    <row r="8" spans="1:23" x14ac:dyDescent="0.3">
      <c r="A8" s="57" t="str">
        <f>IF('Database Lab+Equip'!B3="","Labour Resource",'Database Lab+Equip'!B3)</f>
        <v>Boilermaker</v>
      </c>
      <c r="B8" s="181">
        <f>IF(A8="Labour Resource",0,VLOOKUP(A8,'Database Lab+Equip'!B:D,3,FALSE))</f>
        <v>125.99999999999999</v>
      </c>
      <c r="C8" s="181">
        <f>IF(SUMIF('Installation 1'!B:B,'Budget-Labour Equipment'!A8,'Installation 1'!I:I)+SUMIF('Subcontract 2'!B:B,'Budget-Labour Equipment'!A8,'Subcontract 2'!I:I)+SUMIF('Optional-3'!B:B,'Budget-Labour Equipment'!A8,'Optional-3'!I:I)+SUMIF('Mob-Demob'!B:B,'Budget-Labour Equipment'!A8,'Mob-Demob'!I:I)+SUMIF(Prelims!B:B,'Budget-Labour Equipment'!A8,Prelims!I:I)=0,0,(SUMIF('Installation 1'!B:B,'Budget-Labour Equipment'!A8,'Installation 1'!I:I)+SUMIF('Subcontract 2'!B:B,'Budget-Labour Equipment'!A8,'Subcontract 2'!I:I)+SUMIF('Optional-3'!B:B,'Budget-Labour Equipment'!A8,'Optional-3'!I:I)+SUMIF('Mob-Demob'!B:B,'Budget-Labour Equipment'!A8,'Mob-Demob'!I:I)+SUMIF(Prelims!B:B,'Budget-Labour Equipment'!A8,Prelims!I:I)))</f>
        <v>0</v>
      </c>
      <c r="D8" s="182">
        <f t="shared" ref="D8:D27" si="0">IF(B8=0,0,C8/B8)</f>
        <v>0</v>
      </c>
      <c r="E8" s="183">
        <f t="shared" ref="E8:E27" si="1">D8+0.000001*ROW()</f>
        <v>7.9999999999999996E-6</v>
      </c>
      <c r="F8" s="183" t="e">
        <f t="shared" ref="F8:F27" si="2">RANK(E8,$E$7:$E$27,0)</f>
        <v>#REF!</v>
      </c>
      <c r="H8" s="183" t="e">
        <f t="shared" ref="H8:H26" si="3">MATCH(J8,$F$7:$F$27,0)</f>
        <v>#N/A</v>
      </c>
      <c r="J8" s="183">
        <v>2</v>
      </c>
      <c r="K8" s="184" t="e">
        <f t="shared" ref="K8:K26" si="4">IF(VLOOKUP((INDEX($A$7:$A$27,H8)),$A$7:$D$27,4,FALSE)=0,"",(INDEX($A$7:$A$27,H8)))</f>
        <v>#N/A</v>
      </c>
      <c r="L8" s="185" t="e">
        <f>IF(K8="","",VLOOKUP(K8,'Database Lab+Equip'!$B:$D,3,FALSE))</f>
        <v>#N/A</v>
      </c>
      <c r="M8" s="185" t="e">
        <f>IF(K8="","",SUMIF('Installation 1'!$B$3:$B$114,'Budget-Labour Equipment'!K8,'Installation 1'!$I$3:$I$114)+SUMIF('Subcontract 2'!$B$3:$B$142,'Budget-Labour Equipment'!K8,'Subcontract 2'!$I$3:$I$142)+SUMIF('Optional-3'!$B$3:$B$168,'Budget-Labour Equipment'!K8,'Optional-3'!$I$3:$I$168)+SUMIF('Mob-Demob'!$B$10:$B$110,'Budget-Labour Equipment'!K8,'Mob-Demob'!$I$10:$I$110))</f>
        <v>#N/A</v>
      </c>
      <c r="N8" s="186" t="e">
        <f>IF(K8="","",RANK(L8,$L$7:$L$27)+COUNTIF($L$7:L8,L8)-1)</f>
        <v>#N/A</v>
      </c>
      <c r="O8" s="289"/>
      <c r="P8" s="183" t="e">
        <f t="shared" ref="P8:P27" si="5">MATCH(R8,$N$7:$N$27,0)</f>
        <v>#N/A</v>
      </c>
      <c r="R8" s="32">
        <v>2</v>
      </c>
      <c r="S8" s="31" t="e">
        <f t="shared" ref="S8:S27" si="6">IF(K8="","",(INDEX($K$7:$K$27,P8,1)))</f>
        <v>#N/A</v>
      </c>
      <c r="T8" s="177" t="e">
        <f>IF(S8="","",VLOOKUP(S8,'Database Lab+Equip'!$B:$D,3,FALSE))</f>
        <v>#N/A</v>
      </c>
      <c r="U8" s="177" t="e">
        <f>IF(S8="","",(SUMIF('Installation 1'!B:B,'Budget-Labour Equipment'!S8,'Installation 1'!I:I)+SUMIF('Subcontract 2'!B:B,'Budget-Labour Equipment'!S8,'Subcontract 2'!I:I)+SUMIF('Optional-3'!B:B,'Budget-Labour Equipment'!S8,'Optional-3'!I:I)+SUMIF('Mob-Demob'!B:B,'Budget-Labour Equipment'!S8,'Mob-Demob'!I:I)+SUMIF(Prelims!B:B,'Budget-Labour Equipment'!S8,Prelims!I:I)))</f>
        <v>#N/A</v>
      </c>
      <c r="V8" s="178" t="e">
        <f t="shared" ref="V8:V27" si="7">IF(S8="","",U8/T8)</f>
        <v>#N/A</v>
      </c>
    </row>
    <row r="9" spans="1:23" x14ac:dyDescent="0.3">
      <c r="A9" s="57" t="str">
        <f>IF('Database Lab+Equip'!B4="","Labour Resource",'Database Lab+Equip'!B4)</f>
        <v>Crew Leader</v>
      </c>
      <c r="B9" s="181">
        <f>IF(A9="Labour Resource",0,VLOOKUP(A9,'Database Lab+Equip'!B:D,3,FALSE))</f>
        <v>133</v>
      </c>
      <c r="C9" s="181">
        <f>IF(SUMIF('Installation 1'!B:B,'Budget-Labour Equipment'!A9,'Installation 1'!I:I)+SUMIF('Subcontract 2'!B:B,'Budget-Labour Equipment'!A9,'Subcontract 2'!I:I)+SUMIF('Optional-3'!B:B,'Budget-Labour Equipment'!A9,'Optional-3'!I:I)+SUMIF('Mob-Demob'!B:B,'Budget-Labour Equipment'!A9,'Mob-Demob'!I:I)+SUMIF(Prelims!B:B,'Budget-Labour Equipment'!A9,Prelims!I:I)=0,0,(SUMIF('Installation 1'!B:B,'Budget-Labour Equipment'!A9,'Installation 1'!I:I)+SUMIF('Subcontract 2'!B:B,'Budget-Labour Equipment'!A9,'Subcontract 2'!I:I)+SUMIF('Optional-3'!B:B,'Budget-Labour Equipment'!A9,'Optional-3'!I:I)+SUMIF('Mob-Demob'!B:B,'Budget-Labour Equipment'!A9,'Mob-Demob'!I:I)+SUMIF(Prelims!B:B,'Budget-Labour Equipment'!A9,Prelims!I:I)))</f>
        <v>0</v>
      </c>
      <c r="D9" s="182">
        <f t="shared" si="0"/>
        <v>0</v>
      </c>
      <c r="E9" s="183">
        <f t="shared" si="1"/>
        <v>9.0000000000000002E-6</v>
      </c>
      <c r="F9" s="183" t="e">
        <f t="shared" si="2"/>
        <v>#REF!</v>
      </c>
      <c r="H9" s="183" t="e">
        <f t="shared" si="3"/>
        <v>#N/A</v>
      </c>
      <c r="J9" s="183">
        <v>3</v>
      </c>
      <c r="K9" s="184" t="e">
        <f t="shared" si="4"/>
        <v>#N/A</v>
      </c>
      <c r="L9" s="185" t="e">
        <f>IF(K9="","",VLOOKUP(K9,'Database Lab+Equip'!$B:$D,3,FALSE))</f>
        <v>#N/A</v>
      </c>
      <c r="M9" s="185" t="e">
        <f>IF(K9="","",SUMIF('Installation 1'!$B$3:$B$114,'Budget-Labour Equipment'!K9,'Installation 1'!$I$3:$I$114)+SUMIF('Subcontract 2'!$B$3:$B$142,'Budget-Labour Equipment'!K9,'Subcontract 2'!$I$3:$I$142)+SUMIF('Optional-3'!$B$3:$B$168,'Budget-Labour Equipment'!K9,'Optional-3'!$I$3:$I$168)+SUMIF('Mob-Demob'!$B$10:$B$110,'Budget-Labour Equipment'!K9,'Mob-Demob'!$I$10:$I$110))</f>
        <v>#N/A</v>
      </c>
      <c r="N9" s="186" t="e">
        <f>IF(K9="","",RANK(L9,$L$7:$L$27)+COUNTIF($L$7:L9,L9)-1)</f>
        <v>#N/A</v>
      </c>
      <c r="O9" s="289"/>
      <c r="P9" s="183" t="e">
        <f t="shared" si="5"/>
        <v>#N/A</v>
      </c>
      <c r="R9" s="32">
        <v>3</v>
      </c>
      <c r="S9" s="31" t="e">
        <f t="shared" si="6"/>
        <v>#N/A</v>
      </c>
      <c r="T9" s="177" t="e">
        <f>IF(S9="","",VLOOKUP(S9,'Database Lab+Equip'!$B:$D,3,FALSE))</f>
        <v>#N/A</v>
      </c>
      <c r="U9" s="177" t="e">
        <f>IF(S9="","",(SUMIF('Installation 1'!B:B,'Budget-Labour Equipment'!S9,'Installation 1'!I:I)+SUMIF('Subcontract 2'!B:B,'Budget-Labour Equipment'!S9,'Subcontract 2'!I:I)+SUMIF('Optional-3'!B:B,'Budget-Labour Equipment'!S9,'Optional-3'!I:I)+SUMIF('Mob-Demob'!B:B,'Budget-Labour Equipment'!S9,'Mob-Demob'!I:I)+SUMIF(Prelims!B:B,'Budget-Labour Equipment'!S9,Prelims!I:I)))</f>
        <v>#N/A</v>
      </c>
      <c r="V9" s="178" t="e">
        <f t="shared" si="7"/>
        <v>#N/A</v>
      </c>
    </row>
    <row r="10" spans="1:23" x14ac:dyDescent="0.3">
      <c r="A10" s="57" t="str">
        <f>IF('Database Lab+Equip'!B5="","Labour Resource",'Database Lab+Equip'!B5)</f>
        <v>Construction Manager</v>
      </c>
      <c r="B10" s="181">
        <f>IF(A10="Labour Resource",0,VLOOKUP(A10,'Database Lab+Equip'!B:D,3,FALSE))</f>
        <v>168</v>
      </c>
      <c r="C10" s="181">
        <f>IF(SUMIF('Installation 1'!B:B,'Budget-Labour Equipment'!A10,'Installation 1'!I:I)+SUMIF('Subcontract 2'!B:B,'Budget-Labour Equipment'!A10,'Subcontract 2'!I:I)+SUMIF('Optional-3'!B:B,'Budget-Labour Equipment'!A10,'Optional-3'!I:I)+SUMIF('Mob-Demob'!B:B,'Budget-Labour Equipment'!A10,'Mob-Demob'!I:I)+SUMIF(Prelims!B:B,'Budget-Labour Equipment'!A10,Prelims!I:I)=0,0,(SUMIF('Installation 1'!B:B,'Budget-Labour Equipment'!A10,'Installation 1'!I:I)+SUMIF('Subcontract 2'!B:B,'Budget-Labour Equipment'!A10,'Subcontract 2'!I:I)+SUMIF('Optional-3'!B:B,'Budget-Labour Equipment'!A10,'Optional-3'!I:I)+SUMIF('Mob-Demob'!B:B,'Budget-Labour Equipment'!A10,'Mob-Demob'!I:I)+SUMIF(Prelims!B:B,'Budget-Labour Equipment'!A10,Prelims!I:I)))</f>
        <v>0</v>
      </c>
      <c r="D10" s="182">
        <f t="shared" si="0"/>
        <v>0</v>
      </c>
      <c r="E10" s="183">
        <f t="shared" si="1"/>
        <v>9.9999999999999991E-6</v>
      </c>
      <c r="F10" s="183" t="e">
        <f t="shared" si="2"/>
        <v>#REF!</v>
      </c>
      <c r="H10" s="183" t="e">
        <f t="shared" si="3"/>
        <v>#N/A</v>
      </c>
      <c r="J10" s="183">
        <v>4</v>
      </c>
      <c r="K10" s="184" t="e">
        <f t="shared" si="4"/>
        <v>#N/A</v>
      </c>
      <c r="L10" s="185" t="e">
        <f>IF(K10="","",VLOOKUP(K10,'Database Lab+Equip'!$B:$D,3,FALSE))</f>
        <v>#N/A</v>
      </c>
      <c r="M10" s="185" t="e">
        <f>IF(K10="","",SUMIF('Installation 1'!$B$3:$B$114,'Budget-Labour Equipment'!K10,'Installation 1'!$I$3:$I$114)+SUMIF('Subcontract 2'!$B$3:$B$142,'Budget-Labour Equipment'!K10,'Subcontract 2'!$I$3:$I$142)+SUMIF('Optional-3'!$B$3:$B$168,'Budget-Labour Equipment'!K10,'Optional-3'!$I$3:$I$168)+SUMIF('Mob-Demob'!$B$10:$B$110,'Budget-Labour Equipment'!K10,'Mob-Demob'!$I$10:$I$110))</f>
        <v>#N/A</v>
      </c>
      <c r="N10" s="186" t="e">
        <f>IF(K10="","",RANK(L10,$L$7:$L$27)+COUNTIF($L$7:L10,L10)-1)</f>
        <v>#N/A</v>
      </c>
      <c r="O10" s="289"/>
      <c r="P10" s="183" t="e">
        <f t="shared" si="5"/>
        <v>#N/A</v>
      </c>
      <c r="R10" s="32">
        <v>4</v>
      </c>
      <c r="S10" s="31" t="e">
        <f t="shared" si="6"/>
        <v>#N/A</v>
      </c>
      <c r="T10" s="177" t="e">
        <f>IF(S10="","",VLOOKUP(S10,'Database Lab+Equip'!$B:$D,3,FALSE))</f>
        <v>#N/A</v>
      </c>
      <c r="U10" s="177" t="e">
        <f>IF(S10="","",(SUMIF('Installation 1'!B:B,'Budget-Labour Equipment'!S10,'Installation 1'!I:I)+SUMIF('Subcontract 2'!B:B,'Budget-Labour Equipment'!S10,'Subcontract 2'!I:I)+SUMIF('Optional-3'!B:B,'Budget-Labour Equipment'!S10,'Optional-3'!I:I)+SUMIF('Mob-Demob'!B:B,'Budget-Labour Equipment'!S10,'Mob-Demob'!I:I)+SUMIF(Prelims!B:B,'Budget-Labour Equipment'!S10,Prelims!I:I)))</f>
        <v>#N/A</v>
      </c>
      <c r="V10" s="178" t="e">
        <f>IF(S10="","",U10/T10)</f>
        <v>#N/A</v>
      </c>
    </row>
    <row r="11" spans="1:23" x14ac:dyDescent="0.3">
      <c r="A11" s="57" t="str">
        <f>IF('Database Lab+Equip'!B6="","Labour Resource",'Database Lab+Equip'!B6)</f>
        <v>Electrician</v>
      </c>
      <c r="B11" s="181">
        <f>IF(A11="Labour Resource",0,VLOOKUP(A11,'Database Lab+Equip'!B:D,3,FALSE))</f>
        <v>125.99999999999999</v>
      </c>
      <c r="C11" s="181">
        <f>IF(SUMIF('Installation 1'!B:B,'Budget-Labour Equipment'!A11,'Installation 1'!I:I)+SUMIF('Subcontract 2'!B:B,'Budget-Labour Equipment'!A11,'Subcontract 2'!I:I)+SUMIF('Optional-3'!B:B,'Budget-Labour Equipment'!A11,'Optional-3'!I:I)+SUMIF('Mob-Demob'!B:B,'Budget-Labour Equipment'!A11,'Mob-Demob'!I:I)+SUMIF(Prelims!B:B,'Budget-Labour Equipment'!A11,Prelims!I:I)=0,0,(SUMIF('Installation 1'!B:B,'Budget-Labour Equipment'!A11,'Installation 1'!I:I)+SUMIF('Subcontract 2'!B:B,'Budget-Labour Equipment'!A11,'Subcontract 2'!I:I)+SUMIF('Optional-3'!B:B,'Budget-Labour Equipment'!A11,'Optional-3'!I:I)+SUMIF('Mob-Demob'!B:B,'Budget-Labour Equipment'!A11,'Mob-Demob'!I:I)+SUMIF(Prelims!B:B,'Budget-Labour Equipment'!A11,Prelims!I:I)))</f>
        <v>0</v>
      </c>
      <c r="D11" s="182">
        <f t="shared" si="0"/>
        <v>0</v>
      </c>
      <c r="E11" s="183">
        <f t="shared" si="1"/>
        <v>1.1E-5</v>
      </c>
      <c r="F11" s="183" t="e">
        <f t="shared" si="2"/>
        <v>#REF!</v>
      </c>
      <c r="H11" s="183" t="e">
        <f t="shared" si="3"/>
        <v>#N/A</v>
      </c>
      <c r="J11" s="183">
        <v>5</v>
      </c>
      <c r="K11" s="184" t="e">
        <f t="shared" si="4"/>
        <v>#N/A</v>
      </c>
      <c r="L11" s="185" t="e">
        <f>IF(K11="","",VLOOKUP(K11,'Database Lab+Equip'!$B:$D,3,FALSE))</f>
        <v>#N/A</v>
      </c>
      <c r="M11" s="185" t="e">
        <f>IF(K11="","",SUMIF('Installation 1'!$B$3:$B$114,'Budget-Labour Equipment'!K11,'Installation 1'!$I$3:$I$114)+SUMIF('Subcontract 2'!$B$3:$B$142,'Budget-Labour Equipment'!K11,'Subcontract 2'!$I$3:$I$142)+SUMIF('Optional-3'!$B$3:$B$168,'Budget-Labour Equipment'!K11,'Optional-3'!$I$3:$I$168)+SUMIF('Mob-Demob'!$B$10:$B$110,'Budget-Labour Equipment'!K11,'Mob-Demob'!$I$10:$I$110))</f>
        <v>#N/A</v>
      </c>
      <c r="N11" s="186" t="e">
        <f>IF(K11="","",RANK(L11,$L$7:$L$27)+COUNTIF($L$7:L11,L11)-1)</f>
        <v>#N/A</v>
      </c>
      <c r="O11" s="289"/>
      <c r="P11" s="183" t="e">
        <f t="shared" si="5"/>
        <v>#N/A</v>
      </c>
      <c r="R11" s="32">
        <v>5</v>
      </c>
      <c r="S11" s="31" t="e">
        <f t="shared" si="6"/>
        <v>#N/A</v>
      </c>
      <c r="T11" s="177" t="e">
        <f>IF(S11="","",VLOOKUP(S11,'Database Lab+Equip'!$B:$D,3,FALSE))</f>
        <v>#N/A</v>
      </c>
      <c r="U11" s="177" t="e">
        <f>IF(S11="","",(SUMIF('Installation 1'!B:B,'Budget-Labour Equipment'!S11,'Installation 1'!I:I)+SUMIF('Subcontract 2'!B:B,'Budget-Labour Equipment'!S11,'Subcontract 2'!I:I)+SUMIF('Optional-3'!B:B,'Budget-Labour Equipment'!S11,'Optional-3'!I:I)+SUMIF('Mob-Demob'!B:B,'Budget-Labour Equipment'!S11,'Mob-Demob'!I:I)+SUMIF(Prelims!B:B,'Budget-Labour Equipment'!S11,Prelims!I:I)))</f>
        <v>#N/A</v>
      </c>
      <c r="V11" s="178" t="e">
        <f t="shared" si="7"/>
        <v>#N/A</v>
      </c>
    </row>
    <row r="12" spans="1:23" x14ac:dyDescent="0.3">
      <c r="A12" s="57" t="str">
        <f>IF('Database Lab+Equip'!B7="","Labour Resource",'Database Lab+Equip'!B7)</f>
        <v>Fitter - Heavy Diesel</v>
      </c>
      <c r="B12" s="181">
        <f>IF(A12="Labour Resource",0,VLOOKUP(A12,'Database Lab+Equip'!B:D,3,FALSE))</f>
        <v>133</v>
      </c>
      <c r="C12" s="181">
        <f>IF(SUMIF('Installation 1'!B:B,'Budget-Labour Equipment'!A12,'Installation 1'!I:I)+SUMIF('Subcontract 2'!B:B,'Budget-Labour Equipment'!A12,'Subcontract 2'!I:I)+SUMIF('Optional-3'!B:B,'Budget-Labour Equipment'!A12,'Optional-3'!I:I)+SUMIF('Mob-Demob'!B:B,'Budget-Labour Equipment'!A12,'Mob-Demob'!I:I)+SUMIF(Prelims!B:B,'Budget-Labour Equipment'!A12,Prelims!I:I)=0,0,(SUMIF('Installation 1'!B:B,'Budget-Labour Equipment'!A12,'Installation 1'!I:I)+SUMIF('Subcontract 2'!B:B,'Budget-Labour Equipment'!A12,'Subcontract 2'!I:I)+SUMIF('Optional-3'!B:B,'Budget-Labour Equipment'!A12,'Optional-3'!I:I)+SUMIF('Mob-Demob'!B:B,'Budget-Labour Equipment'!A12,'Mob-Demob'!I:I)+SUMIF(Prelims!B:B,'Budget-Labour Equipment'!A12,Prelims!I:I)))</f>
        <v>0</v>
      </c>
      <c r="D12" s="182">
        <f t="shared" si="0"/>
        <v>0</v>
      </c>
      <c r="E12" s="183">
        <f t="shared" si="1"/>
        <v>1.2E-5</v>
      </c>
      <c r="F12" s="183" t="e">
        <f t="shared" si="2"/>
        <v>#REF!</v>
      </c>
      <c r="H12" s="183" t="e">
        <f t="shared" si="3"/>
        <v>#N/A</v>
      </c>
      <c r="J12" s="183">
        <v>6</v>
      </c>
      <c r="K12" s="184" t="e">
        <f t="shared" si="4"/>
        <v>#N/A</v>
      </c>
      <c r="L12" s="185" t="e">
        <f>IF(K12="","",VLOOKUP(K12,'Database Lab+Equip'!$B:$D,3,FALSE))</f>
        <v>#N/A</v>
      </c>
      <c r="M12" s="185" t="e">
        <f>IF(K12="","",SUMIF('Installation 1'!$B$3:$B$114,'Budget-Labour Equipment'!K12,'Installation 1'!$I$3:$I$114)+SUMIF('Subcontract 2'!$B$3:$B$142,'Budget-Labour Equipment'!K12,'Subcontract 2'!$I$3:$I$142)+SUMIF('Optional-3'!$B$3:$B$168,'Budget-Labour Equipment'!K12,'Optional-3'!$I$3:$I$168)+SUMIF('Mob-Demob'!$B$10:$B$110,'Budget-Labour Equipment'!K12,'Mob-Demob'!$I$10:$I$110))</f>
        <v>#N/A</v>
      </c>
      <c r="N12" s="186" t="e">
        <f>IF(K12="","",RANK(L12,$L$7:$L$27)+COUNTIF($L$7:L12,L12)-1)</f>
        <v>#N/A</v>
      </c>
      <c r="O12" s="289"/>
      <c r="P12" s="183" t="e">
        <f t="shared" si="5"/>
        <v>#N/A</v>
      </c>
      <c r="R12" s="32">
        <v>6</v>
      </c>
      <c r="S12" s="31" t="e">
        <f t="shared" si="6"/>
        <v>#N/A</v>
      </c>
      <c r="T12" s="177" t="e">
        <f>IF(S12="","",VLOOKUP(S12,'Database Lab+Equip'!$B:$D,3,FALSE))</f>
        <v>#N/A</v>
      </c>
      <c r="U12" s="177" t="e">
        <f>IF(S12="","",(SUMIF('Installation 1'!B:B,'Budget-Labour Equipment'!S12,'Installation 1'!I:I)+SUMIF('Subcontract 2'!B:B,'Budget-Labour Equipment'!S12,'Subcontract 2'!I:I)+SUMIF('Optional-3'!B:B,'Budget-Labour Equipment'!S12,'Optional-3'!I:I)+SUMIF('Mob-Demob'!B:B,'Budget-Labour Equipment'!S12,'Mob-Demob'!I:I)+SUMIF(Prelims!B:B,'Budget-Labour Equipment'!S12,Prelims!I:I)))</f>
        <v>#N/A</v>
      </c>
      <c r="V12" s="178" t="e">
        <f t="shared" si="7"/>
        <v>#N/A</v>
      </c>
    </row>
    <row r="13" spans="1:23" x14ac:dyDescent="0.3">
      <c r="A13" s="57" t="str">
        <f>IF('Database Lab+Equip'!B8="","Labour Resource",'Database Lab+Equip'!B8)</f>
        <v>HSE Advisor</v>
      </c>
      <c r="B13" s="181">
        <f>IF(A13="Labour Resource",0,VLOOKUP(A13,'Database Lab+Equip'!B:D,3,FALSE))</f>
        <v>140</v>
      </c>
      <c r="C13" s="181">
        <f>IF(SUMIF('Installation 1'!B:B,'Budget-Labour Equipment'!A13,'Installation 1'!I:I)+SUMIF('Subcontract 2'!B:B,'Budget-Labour Equipment'!A13,'Subcontract 2'!I:I)+SUMIF('Optional-3'!B:B,'Budget-Labour Equipment'!A13,'Optional-3'!I:I)+SUMIF('Mob-Demob'!B:B,'Budget-Labour Equipment'!A13,'Mob-Demob'!I:I)+SUMIF(Prelims!B:B,'Budget-Labour Equipment'!A13,Prelims!I:I)=0,0,(SUMIF('Installation 1'!B:B,'Budget-Labour Equipment'!A13,'Installation 1'!I:I)+SUMIF('Subcontract 2'!B:B,'Budget-Labour Equipment'!A13,'Subcontract 2'!I:I)+SUMIF('Optional-3'!B:B,'Budget-Labour Equipment'!A13,'Optional-3'!I:I)+SUMIF('Mob-Demob'!B:B,'Budget-Labour Equipment'!A13,'Mob-Demob'!I:I)+SUMIF(Prelims!B:B,'Budget-Labour Equipment'!A13,Prelims!I:I)))</f>
        <v>0</v>
      </c>
      <c r="D13" s="182">
        <f t="shared" si="0"/>
        <v>0</v>
      </c>
      <c r="E13" s="183">
        <f t="shared" si="1"/>
        <v>1.2999999999999999E-5</v>
      </c>
      <c r="F13" s="183" t="e">
        <f t="shared" si="2"/>
        <v>#REF!</v>
      </c>
      <c r="H13" s="183" t="e">
        <f t="shared" si="3"/>
        <v>#N/A</v>
      </c>
      <c r="J13" s="183">
        <v>7</v>
      </c>
      <c r="K13" s="184" t="e">
        <f t="shared" si="4"/>
        <v>#N/A</v>
      </c>
      <c r="L13" s="185" t="e">
        <f>IF(K13="","",VLOOKUP(K13,'Database Lab+Equip'!$B:$D,3,FALSE))</f>
        <v>#N/A</v>
      </c>
      <c r="M13" s="185" t="e">
        <f>IF(K13="","",SUMIF('Installation 1'!$B$3:$B$114,'Budget-Labour Equipment'!K13,'Installation 1'!$I$3:$I$114)+SUMIF('Subcontract 2'!$B$3:$B$142,'Budget-Labour Equipment'!K13,'Subcontract 2'!$I$3:$I$142)+SUMIF('Optional-3'!$B$3:$B$168,'Budget-Labour Equipment'!K13,'Optional-3'!$I$3:$I$168)+SUMIF('Mob-Demob'!$B$10:$B$110,'Budget-Labour Equipment'!K13,'Mob-Demob'!$I$10:$I$110))</f>
        <v>#N/A</v>
      </c>
      <c r="N13" s="186" t="e">
        <f>IF(K13="","",RANK(L13,$L$7:$L$27)+COUNTIF($L$7:L13,L13)-1)</f>
        <v>#N/A</v>
      </c>
      <c r="O13" s="289"/>
      <c r="P13" s="183" t="e">
        <f t="shared" si="5"/>
        <v>#N/A</v>
      </c>
      <c r="R13" s="32">
        <v>7</v>
      </c>
      <c r="S13" s="31" t="e">
        <f t="shared" si="6"/>
        <v>#N/A</v>
      </c>
      <c r="T13" s="177" t="e">
        <f>IF(S13="","",VLOOKUP(S13,'Database Lab+Equip'!$B:$D,3,FALSE))</f>
        <v>#N/A</v>
      </c>
      <c r="U13" s="177" t="e">
        <f>IF(S13="","",(SUMIF('Installation 1'!B:B,'Budget-Labour Equipment'!S13,'Installation 1'!I:I)+SUMIF('Subcontract 2'!B:B,'Budget-Labour Equipment'!S13,'Subcontract 2'!I:I)+SUMIF('Optional-3'!B:B,'Budget-Labour Equipment'!S13,'Optional-3'!I:I)+SUMIF('Mob-Demob'!B:B,'Budget-Labour Equipment'!S13,'Mob-Demob'!I:I)+SUMIF(Prelims!B:B,'Budget-Labour Equipment'!S13,Prelims!I:I)))</f>
        <v>#N/A</v>
      </c>
      <c r="V13" s="178" t="e">
        <f t="shared" si="7"/>
        <v>#N/A</v>
      </c>
    </row>
    <row r="14" spans="1:23" x14ac:dyDescent="0.3">
      <c r="A14" s="57" t="str">
        <f>IF('Database Lab+Equip'!B9="","Labour Resource",'Database Lab+Equip'!B9)</f>
        <v>Operator</v>
      </c>
      <c r="B14" s="181">
        <f>IF(A14="Labour Resource",0,VLOOKUP(A14,'Database Lab+Equip'!B:D,3,FALSE))</f>
        <v>125.99999999999999</v>
      </c>
      <c r="C14" s="181">
        <f>IF(SUMIF('Installation 1'!B:B,'Budget-Labour Equipment'!A14,'Installation 1'!I:I)+SUMIF('Subcontract 2'!B:B,'Budget-Labour Equipment'!A14,'Subcontract 2'!I:I)+SUMIF('Optional-3'!B:B,'Budget-Labour Equipment'!A14,'Optional-3'!I:I)+SUMIF('Mob-Demob'!B:B,'Budget-Labour Equipment'!A14,'Mob-Demob'!I:I)+SUMIF(Prelims!B:B,'Budget-Labour Equipment'!A14,Prelims!I:I)=0,0,(SUMIF('Installation 1'!B:B,'Budget-Labour Equipment'!A14,'Installation 1'!I:I)+SUMIF('Subcontract 2'!B:B,'Budget-Labour Equipment'!A14,'Subcontract 2'!I:I)+SUMIF('Optional-3'!B:B,'Budget-Labour Equipment'!A14,'Optional-3'!I:I)+SUMIF('Mob-Demob'!B:B,'Budget-Labour Equipment'!A14,'Mob-Demob'!I:I)+SUMIF(Prelims!B:B,'Budget-Labour Equipment'!A14,Prelims!I:I)))</f>
        <v>246871.80000000002</v>
      </c>
      <c r="D14" s="182">
        <f t="shared" si="0"/>
        <v>1959.3000000000004</v>
      </c>
      <c r="E14" s="183">
        <f t="shared" si="1"/>
        <v>1959.3000140000004</v>
      </c>
      <c r="F14" s="183" t="e">
        <f t="shared" si="2"/>
        <v>#REF!</v>
      </c>
      <c r="H14" s="183" t="e">
        <f t="shared" si="3"/>
        <v>#N/A</v>
      </c>
      <c r="J14" s="183">
        <v>8</v>
      </c>
      <c r="K14" s="184" t="e">
        <f t="shared" si="4"/>
        <v>#N/A</v>
      </c>
      <c r="L14" s="185" t="e">
        <f>IF(K14="","",VLOOKUP(K14,'Database Lab+Equip'!$B:$D,3,FALSE))</f>
        <v>#N/A</v>
      </c>
      <c r="M14" s="185" t="e">
        <f>IF(K14="","",SUMIF('Installation 1'!$B$3:$B$114,'Budget-Labour Equipment'!K14,'Installation 1'!$I$3:$I$114)+SUMIF('Subcontract 2'!$B$3:$B$142,'Budget-Labour Equipment'!K14,'Subcontract 2'!$I$3:$I$142)+SUMIF('Optional-3'!$B$3:$B$168,'Budget-Labour Equipment'!K14,'Optional-3'!$I$3:$I$168)+SUMIF('Mob-Demob'!$B$10:$B$110,'Budget-Labour Equipment'!K14,'Mob-Demob'!$I$10:$I$110))</f>
        <v>#N/A</v>
      </c>
      <c r="N14" s="186" t="e">
        <f>IF(K14="","",RANK(L14,$L$7:$L$27)+COUNTIF($L$7:L14,L14)-1)</f>
        <v>#N/A</v>
      </c>
      <c r="O14" s="289"/>
      <c r="P14" s="183" t="e">
        <f t="shared" si="5"/>
        <v>#N/A</v>
      </c>
      <c r="R14" s="32">
        <v>8</v>
      </c>
      <c r="S14" s="31" t="e">
        <f t="shared" si="6"/>
        <v>#N/A</v>
      </c>
      <c r="T14" s="177" t="e">
        <f>IF(S14="","",VLOOKUP(S14,'Database Lab+Equip'!$B:$D,3,FALSE))</f>
        <v>#N/A</v>
      </c>
      <c r="U14" s="177" t="e">
        <f>IF(S14="","",(SUMIF('Installation 1'!B:B,'Budget-Labour Equipment'!S14,'Installation 1'!I:I)+SUMIF('Subcontract 2'!B:B,'Budget-Labour Equipment'!S14,'Subcontract 2'!I:I)+SUMIF('Optional-3'!B:B,'Budget-Labour Equipment'!S14,'Optional-3'!I:I)+SUMIF('Mob-Demob'!B:B,'Budget-Labour Equipment'!S14,'Mob-Demob'!I:I)+SUMIF(Prelims!B:B,'Budget-Labour Equipment'!S14,Prelims!I:I)))</f>
        <v>#N/A</v>
      </c>
      <c r="V14" s="178" t="e">
        <f t="shared" si="7"/>
        <v>#N/A</v>
      </c>
    </row>
    <row r="15" spans="1:23" x14ac:dyDescent="0.3">
      <c r="A15" s="57" t="str">
        <f>IF('Database Lab+Equip'!B10="","Labour Resource",'Database Lab+Equip'!B10)</f>
        <v>Project Engineer</v>
      </c>
      <c r="B15" s="181">
        <f>IF(A15="Labour Resource",0,VLOOKUP(A15,'Database Lab+Equip'!B:D,3,FALSE))</f>
        <v>182</v>
      </c>
      <c r="C15" s="181">
        <f>IF(SUMIF('Installation 1'!B:B,'Budget-Labour Equipment'!A15,'Installation 1'!I:I)+SUMIF('Subcontract 2'!B:B,'Budget-Labour Equipment'!A15,'Subcontract 2'!I:I)+SUMIF('Optional-3'!B:B,'Budget-Labour Equipment'!A15,'Optional-3'!I:I)+SUMIF('Mob-Demob'!B:B,'Budget-Labour Equipment'!A15,'Mob-Demob'!I:I)+SUMIF(Prelims!B:B,'Budget-Labour Equipment'!A15,Prelims!I:I)=0,0,(SUMIF('Installation 1'!B:B,'Budget-Labour Equipment'!A15,'Installation 1'!I:I)+SUMIF('Subcontract 2'!B:B,'Budget-Labour Equipment'!A15,'Subcontract 2'!I:I)+SUMIF('Optional-3'!B:B,'Budget-Labour Equipment'!A15,'Optional-3'!I:I)+SUMIF('Mob-Demob'!B:B,'Budget-Labour Equipment'!A15,'Mob-Demob'!I:I)+SUMIF(Prelims!B:B,'Budget-Labour Equipment'!A15,Prelims!I:I)))</f>
        <v>0</v>
      </c>
      <c r="D15" s="182">
        <f t="shared" si="0"/>
        <v>0</v>
      </c>
      <c r="E15" s="183">
        <f t="shared" si="1"/>
        <v>1.4999999999999999E-5</v>
      </c>
      <c r="F15" s="183" t="e">
        <f t="shared" si="2"/>
        <v>#REF!</v>
      </c>
      <c r="H15" s="183" t="e">
        <f t="shared" si="3"/>
        <v>#N/A</v>
      </c>
      <c r="J15" s="183">
        <v>9</v>
      </c>
      <c r="K15" s="184" t="e">
        <f t="shared" si="4"/>
        <v>#N/A</v>
      </c>
      <c r="L15" s="185" t="e">
        <f>IF(K15="","",VLOOKUP(K15,'Database Lab+Equip'!$B:$D,3,FALSE))</f>
        <v>#N/A</v>
      </c>
      <c r="M15" s="185" t="e">
        <f>IF(K15="","",SUMIF('Installation 1'!$B$3:$B$114,'Budget-Labour Equipment'!K15,'Installation 1'!$I$3:$I$114)+SUMIF('Subcontract 2'!$B$3:$B$142,'Budget-Labour Equipment'!K15,'Subcontract 2'!$I$3:$I$142)+SUMIF('Optional-3'!$B$3:$B$168,'Budget-Labour Equipment'!K15,'Optional-3'!$I$3:$I$168)+SUMIF('Mob-Demob'!$B$10:$B$110,'Budget-Labour Equipment'!K15,'Mob-Demob'!$I$10:$I$110))</f>
        <v>#N/A</v>
      </c>
      <c r="N15" s="186" t="e">
        <f>IF(K15="","",RANK(L15,$L$7:$L$27)+COUNTIF($L$7:L15,L15)-1)</f>
        <v>#N/A</v>
      </c>
      <c r="O15" s="289"/>
      <c r="P15" s="183" t="e">
        <f t="shared" si="5"/>
        <v>#N/A</v>
      </c>
      <c r="R15" s="32">
        <v>9</v>
      </c>
      <c r="S15" s="31" t="e">
        <f t="shared" si="6"/>
        <v>#N/A</v>
      </c>
      <c r="T15" s="177" t="e">
        <f>IF(S15="","",VLOOKUP(S15,'Database Lab+Equip'!$B:$D,3,FALSE))</f>
        <v>#N/A</v>
      </c>
      <c r="U15" s="177" t="e">
        <f>IF(S15="","",(SUMIF('Installation 1'!B:B,'Budget-Labour Equipment'!S15,'Installation 1'!I:I)+SUMIF('Subcontract 2'!B:B,'Budget-Labour Equipment'!S15,'Subcontract 2'!I:I)+SUMIF('Optional-3'!B:B,'Budget-Labour Equipment'!S15,'Optional-3'!I:I)+SUMIF('Mob-Demob'!B:B,'Budget-Labour Equipment'!S15,'Mob-Demob'!I:I)+SUMIF(Prelims!B:B,'Budget-Labour Equipment'!S15,Prelims!I:I)))</f>
        <v>#N/A</v>
      </c>
      <c r="V15" s="178" t="e">
        <f t="shared" si="7"/>
        <v>#N/A</v>
      </c>
    </row>
    <row r="16" spans="1:23" x14ac:dyDescent="0.3">
      <c r="A16" s="57" t="str">
        <f>IF('Database Lab+Equip'!B11="","Labour Resource",'Database Lab+Equip'!B11)</f>
        <v>AIC Technician</v>
      </c>
      <c r="B16" s="181">
        <f>IF(A16="Labour Resource",0,VLOOKUP(A16,'Database Lab+Equip'!B:D,3,FALSE))</f>
        <v>125.99999999999999</v>
      </c>
      <c r="C16" s="181">
        <f>IF(SUMIF('Installation 1'!B:B,'Budget-Labour Equipment'!A16,'Installation 1'!I:I)+SUMIF('Subcontract 2'!B:B,'Budget-Labour Equipment'!A16,'Subcontract 2'!I:I)+SUMIF('Optional-3'!B:B,'Budget-Labour Equipment'!A16,'Optional-3'!I:I)+SUMIF('Mob-Demob'!B:B,'Budget-Labour Equipment'!A16,'Mob-Demob'!I:I)+SUMIF(Prelims!B:B,'Budget-Labour Equipment'!A16,Prelims!I:I)=0,0,(SUMIF('Installation 1'!B:B,'Budget-Labour Equipment'!A16,'Installation 1'!I:I)+SUMIF('Subcontract 2'!B:B,'Budget-Labour Equipment'!A16,'Subcontract 2'!I:I)+SUMIF('Optional-3'!B:B,'Budget-Labour Equipment'!A16,'Optional-3'!I:I)+SUMIF('Mob-Demob'!B:B,'Budget-Labour Equipment'!A16,'Mob-Demob'!I:I)+SUMIF(Prelims!B:B,'Budget-Labour Equipment'!A16,Prelims!I:I)))</f>
        <v>0</v>
      </c>
      <c r="D16" s="182">
        <f t="shared" si="0"/>
        <v>0</v>
      </c>
      <c r="E16" s="183">
        <f t="shared" si="1"/>
        <v>1.5999999999999999E-5</v>
      </c>
      <c r="F16" s="183" t="e">
        <f t="shared" si="2"/>
        <v>#REF!</v>
      </c>
      <c r="H16" s="183" t="e">
        <f t="shared" si="3"/>
        <v>#N/A</v>
      </c>
      <c r="J16" s="183">
        <v>10</v>
      </c>
      <c r="K16" s="184" t="e">
        <f t="shared" si="4"/>
        <v>#N/A</v>
      </c>
      <c r="L16" s="185" t="e">
        <f>IF(K16="","",VLOOKUP(K16,'Database Lab+Equip'!$B:$D,3,FALSE))</f>
        <v>#N/A</v>
      </c>
      <c r="M16" s="185" t="e">
        <f>IF(K16="","",SUMIF('Installation 1'!$B$3:$B$114,'Budget-Labour Equipment'!K16,'Installation 1'!$I$3:$I$114)+SUMIF('Subcontract 2'!$B$3:$B$142,'Budget-Labour Equipment'!K16,'Subcontract 2'!$I$3:$I$142)+SUMIF('Optional-3'!$B$3:$B$168,'Budget-Labour Equipment'!K16,'Optional-3'!$I$3:$I$168)+SUMIF('Mob-Demob'!$B$10:$B$110,'Budget-Labour Equipment'!K16,'Mob-Demob'!$I$10:$I$110))</f>
        <v>#N/A</v>
      </c>
      <c r="N16" s="186" t="e">
        <f>IF(K16="","",RANK(L16,$L$7:$L$27)+COUNTIF($L$7:L16,L16)-1)</f>
        <v>#N/A</v>
      </c>
      <c r="O16" s="289"/>
      <c r="P16" s="183" t="e">
        <f t="shared" si="5"/>
        <v>#N/A</v>
      </c>
      <c r="R16" s="32">
        <v>10</v>
      </c>
      <c r="S16" s="31" t="e">
        <f t="shared" si="6"/>
        <v>#N/A</v>
      </c>
      <c r="T16" s="177" t="e">
        <f>IF(S16="","",VLOOKUP(S16,'Database Lab+Equip'!$B:$D,3,FALSE))</f>
        <v>#N/A</v>
      </c>
      <c r="U16" s="177" t="e">
        <f>IF(S16="","",(SUMIF('Installation 1'!B:B,'Budget-Labour Equipment'!S16,'Installation 1'!I:I)+SUMIF('Subcontract 2'!B:B,'Budget-Labour Equipment'!S16,'Subcontract 2'!I:I)+SUMIF('Optional-3'!B:B,'Budget-Labour Equipment'!S16,'Optional-3'!I:I)+SUMIF('Mob-Demob'!B:B,'Budget-Labour Equipment'!S16,'Mob-Demob'!I:I)+SUMIF(Prelims!B:B,'Budget-Labour Equipment'!S16,Prelims!I:I)))</f>
        <v>#N/A</v>
      </c>
      <c r="V16" s="178" t="e">
        <f t="shared" si="7"/>
        <v>#N/A</v>
      </c>
    </row>
    <row r="17" spans="1:23" x14ac:dyDescent="0.3">
      <c r="A17" s="57" t="str">
        <f>IF('Database Lab+Equip'!B12="","Labour Resource",'Database Lab+Equip'!B12)</f>
        <v>Pipe Fitter</v>
      </c>
      <c r="B17" s="181">
        <f>IF(A17="Labour Resource",0,VLOOKUP(A17,'Database Lab+Equip'!B:D,3,FALSE))</f>
        <v>125.99999999999999</v>
      </c>
      <c r="C17" s="181">
        <f>IF(SUMIF('Installation 1'!B:B,'Budget-Labour Equipment'!A17,'Installation 1'!I:I)+SUMIF('Subcontract 2'!B:B,'Budget-Labour Equipment'!A17,'Subcontract 2'!I:I)+SUMIF('Optional-3'!B:B,'Budget-Labour Equipment'!A17,'Optional-3'!I:I)+SUMIF('Mob-Demob'!B:B,'Budget-Labour Equipment'!A17,'Mob-Demob'!I:I)+SUMIF(Prelims!B:B,'Budget-Labour Equipment'!A17,Prelims!I:I)=0,0,(SUMIF('Installation 1'!B:B,'Budget-Labour Equipment'!A17,'Installation 1'!I:I)+SUMIF('Subcontract 2'!B:B,'Budget-Labour Equipment'!A17,'Subcontract 2'!I:I)+SUMIF('Optional-3'!B:B,'Budget-Labour Equipment'!A17,'Optional-3'!I:I)+SUMIF('Mob-Demob'!B:B,'Budget-Labour Equipment'!A17,'Mob-Demob'!I:I)+SUMIF(Prelims!B:B,'Budget-Labour Equipment'!A17,Prelims!I:I)))</f>
        <v>0</v>
      </c>
      <c r="D17" s="182">
        <f t="shared" si="0"/>
        <v>0</v>
      </c>
      <c r="E17" s="183">
        <f t="shared" si="1"/>
        <v>1.7E-5</v>
      </c>
      <c r="F17" s="183" t="e">
        <f t="shared" si="2"/>
        <v>#REF!</v>
      </c>
      <c r="H17" s="183" t="e">
        <f t="shared" si="3"/>
        <v>#N/A</v>
      </c>
      <c r="J17" s="183">
        <v>11</v>
      </c>
      <c r="K17" s="184" t="e">
        <f t="shared" si="4"/>
        <v>#N/A</v>
      </c>
      <c r="L17" s="185" t="e">
        <f>IF(K17="","",VLOOKUP(K17,'Database Lab+Equip'!$B:$D,3,FALSE))</f>
        <v>#N/A</v>
      </c>
      <c r="M17" s="185" t="e">
        <f>IF(K17="","",SUMIF('Installation 1'!$B$3:$B$114,'Budget-Labour Equipment'!K17,'Installation 1'!$I$3:$I$114)+SUMIF('Subcontract 2'!$B$3:$B$142,'Budget-Labour Equipment'!K17,'Subcontract 2'!$I$3:$I$142)+SUMIF('Optional-3'!$B$3:$B$168,'Budget-Labour Equipment'!K17,'Optional-3'!$I$3:$I$168)+SUMIF('Mob-Demob'!$B$10:$B$110,'Budget-Labour Equipment'!K17,'Mob-Demob'!$I$10:$I$110))</f>
        <v>#N/A</v>
      </c>
      <c r="N17" s="186" t="e">
        <f>IF(K17="","",RANK(L17,$L$7:$L$27)+COUNTIF($L$7:L17,L17)-1)</f>
        <v>#N/A</v>
      </c>
      <c r="O17" s="289"/>
      <c r="P17" s="183" t="e">
        <f t="shared" si="5"/>
        <v>#N/A</v>
      </c>
      <c r="R17" s="32">
        <v>11</v>
      </c>
      <c r="S17" s="31" t="e">
        <f t="shared" si="6"/>
        <v>#N/A</v>
      </c>
      <c r="T17" s="177" t="e">
        <f>IF(S17="","",VLOOKUP(S17,'Database Lab+Equip'!$B:$D,3,FALSE))</f>
        <v>#N/A</v>
      </c>
      <c r="U17" s="177" t="e">
        <f>IF(S17="","",(SUMIF('Installation 1'!B:B,'Budget-Labour Equipment'!S17,'Installation 1'!I:I)+SUMIF('Subcontract 2'!B:B,'Budget-Labour Equipment'!S17,'Subcontract 2'!I:I)+SUMIF('Optional-3'!B:B,'Budget-Labour Equipment'!S17,'Optional-3'!I:I)+SUMIF('Mob-Demob'!B:B,'Budget-Labour Equipment'!S17,'Mob-Demob'!I:I)+SUMIF(Prelims!B:B,'Budget-Labour Equipment'!S17,Prelims!I:I)))</f>
        <v>#N/A</v>
      </c>
      <c r="V17" s="178" t="e">
        <f t="shared" si="7"/>
        <v>#N/A</v>
      </c>
    </row>
    <row r="18" spans="1:23" x14ac:dyDescent="0.3">
      <c r="A18" s="57" t="str">
        <f>IF('Database Lab+Equip'!B13="","Labour Resource",'Database Lab+Equip'!B13)</f>
        <v>Plumber</v>
      </c>
      <c r="B18" s="181">
        <f>IF(A18="Labour Resource",0,VLOOKUP(A18,'Database Lab+Equip'!B:D,3,FALSE))</f>
        <v>125.99999999999999</v>
      </c>
      <c r="C18" s="181">
        <f>IF(SUMIF('Installation 1'!B:B,'Budget-Labour Equipment'!A18,'Installation 1'!I:I)+SUMIF('Subcontract 2'!B:B,'Budget-Labour Equipment'!A18,'Subcontract 2'!I:I)+SUMIF('Optional-3'!B:B,'Budget-Labour Equipment'!A18,'Optional-3'!I:I)+SUMIF('Mob-Demob'!B:B,'Budget-Labour Equipment'!A18,'Mob-Demob'!I:I)+SUMIF(Prelims!B:B,'Budget-Labour Equipment'!A18,Prelims!I:I)=0,0,(SUMIF('Installation 1'!B:B,'Budget-Labour Equipment'!A18,'Installation 1'!I:I)+SUMIF('Subcontract 2'!B:B,'Budget-Labour Equipment'!A18,'Subcontract 2'!I:I)+SUMIF('Optional-3'!B:B,'Budget-Labour Equipment'!A18,'Optional-3'!I:I)+SUMIF('Mob-Demob'!B:B,'Budget-Labour Equipment'!A18,'Mob-Demob'!I:I)+SUMIF(Prelims!B:B,'Budget-Labour Equipment'!A18,Prelims!I:I)))</f>
        <v>0</v>
      </c>
      <c r="D18" s="182">
        <f t="shared" si="0"/>
        <v>0</v>
      </c>
      <c r="E18" s="183">
        <f t="shared" si="1"/>
        <v>1.8E-5</v>
      </c>
      <c r="F18" s="183" t="e">
        <f t="shared" si="2"/>
        <v>#REF!</v>
      </c>
      <c r="H18" s="183" t="e">
        <f t="shared" si="3"/>
        <v>#N/A</v>
      </c>
      <c r="J18" s="183">
        <v>12</v>
      </c>
      <c r="K18" s="184" t="e">
        <f t="shared" si="4"/>
        <v>#N/A</v>
      </c>
      <c r="L18" s="185" t="e">
        <f>IF(K18="","",VLOOKUP(K18,'Database Lab+Equip'!$B:$D,3,FALSE))</f>
        <v>#N/A</v>
      </c>
      <c r="M18" s="185" t="e">
        <f>IF(K18="","",SUMIF('Installation 1'!$B$3:$B$114,'Budget-Labour Equipment'!K18,'Installation 1'!$I$3:$I$114)+SUMIF('Subcontract 2'!$B$3:$B$142,'Budget-Labour Equipment'!K18,'Subcontract 2'!$I$3:$I$142)+SUMIF('Optional-3'!$B$3:$B$168,'Budget-Labour Equipment'!K18,'Optional-3'!$I$3:$I$168)+SUMIF('Mob-Demob'!$B$10:$B$110,'Budget-Labour Equipment'!K18,'Mob-Demob'!$I$10:$I$110))</f>
        <v>#N/A</v>
      </c>
      <c r="N18" s="186" t="e">
        <f>IF(K18="","",RANK(L18,$L$7:$L$27)+COUNTIF($L$7:L18,L18)-1)</f>
        <v>#N/A</v>
      </c>
      <c r="O18" s="289"/>
      <c r="P18" s="183" t="e">
        <f t="shared" si="5"/>
        <v>#N/A</v>
      </c>
      <c r="R18" s="32">
        <v>12</v>
      </c>
      <c r="S18" s="31" t="e">
        <f t="shared" si="6"/>
        <v>#N/A</v>
      </c>
      <c r="T18" s="177" t="e">
        <f>IF(S18="","",VLOOKUP(S18,'Database Lab+Equip'!$B:$D,3,FALSE))</f>
        <v>#N/A</v>
      </c>
      <c r="U18" s="177" t="e">
        <f>IF(S18="","",(SUMIF('Installation 1'!B:B,'Budget-Labour Equipment'!S18,'Installation 1'!I:I)+SUMIF('Subcontract 2'!B:B,'Budget-Labour Equipment'!S18,'Subcontract 2'!I:I)+SUMIF('Optional-3'!B:B,'Budget-Labour Equipment'!S18,'Optional-3'!I:I)+SUMIF('Mob-Demob'!B:B,'Budget-Labour Equipment'!S18,'Mob-Demob'!I:I)+SUMIF(Prelims!B:B,'Budget-Labour Equipment'!S18,Prelims!I:I)))</f>
        <v>#N/A</v>
      </c>
      <c r="V18" s="178" t="e">
        <f t="shared" si="7"/>
        <v>#N/A</v>
      </c>
    </row>
    <row r="19" spans="1:23" x14ac:dyDescent="0.3">
      <c r="A19" s="57" t="str">
        <f>IF('Database Lab+Equip'!B14="","Labour Resource",'Database Lab+Equip'!B14)</f>
        <v>Project Manager</v>
      </c>
      <c r="B19" s="181">
        <f>IF(A19="Labour Resource",0,VLOOKUP(A19,'Database Lab+Equip'!B:D,3,FALSE))</f>
        <v>165.2</v>
      </c>
      <c r="C19" s="181">
        <f>IF(SUMIF('Installation 1'!B:B,'Budget-Labour Equipment'!A19,'Installation 1'!I:I)+SUMIF('Subcontract 2'!B:B,'Budget-Labour Equipment'!A19,'Subcontract 2'!I:I)+SUMIF('Optional-3'!B:B,'Budget-Labour Equipment'!A19,'Optional-3'!I:I)+SUMIF('Mob-Demob'!B:B,'Budget-Labour Equipment'!A19,'Mob-Demob'!I:I)+SUMIF(Prelims!B:B,'Budget-Labour Equipment'!A19,Prelims!I:I)=0,0,(SUMIF('Installation 1'!B:B,'Budget-Labour Equipment'!A19,'Installation 1'!I:I)+SUMIF('Subcontract 2'!B:B,'Budget-Labour Equipment'!A19,'Subcontract 2'!I:I)+SUMIF('Optional-3'!B:B,'Budget-Labour Equipment'!A19,'Optional-3'!I:I)+SUMIF('Mob-Demob'!B:B,'Budget-Labour Equipment'!A19,'Mob-Demob'!I:I)+SUMIF(Prelims!B:B,'Budget-Labour Equipment'!A19,Prelims!I:I)))</f>
        <v>27753.599999999999</v>
      </c>
      <c r="D19" s="182">
        <f t="shared" si="0"/>
        <v>168</v>
      </c>
      <c r="E19" s="183">
        <f t="shared" si="1"/>
        <v>168.00001900000001</v>
      </c>
      <c r="F19" s="183" t="e">
        <f t="shared" si="2"/>
        <v>#REF!</v>
      </c>
      <c r="H19" s="183" t="e">
        <f t="shared" si="3"/>
        <v>#N/A</v>
      </c>
      <c r="J19" s="183">
        <v>13</v>
      </c>
      <c r="K19" s="184" t="e">
        <f t="shared" si="4"/>
        <v>#N/A</v>
      </c>
      <c r="L19" s="185" t="e">
        <f>IF(K19="","",VLOOKUP(K19,'Database Lab+Equip'!$B:$D,3,FALSE))</f>
        <v>#N/A</v>
      </c>
      <c r="M19" s="185" t="e">
        <f>IF(K19="","",SUMIF('Installation 1'!$B$3:$B$114,'Budget-Labour Equipment'!K19,'Installation 1'!$I$3:$I$114)+SUMIF('Subcontract 2'!$B$3:$B$142,'Budget-Labour Equipment'!K19,'Subcontract 2'!$I$3:$I$142)+SUMIF('Optional-3'!$B$3:$B$168,'Budget-Labour Equipment'!K19,'Optional-3'!$I$3:$I$168)+SUMIF('Mob-Demob'!$B$10:$B$110,'Budget-Labour Equipment'!K19,'Mob-Demob'!$I$10:$I$110))</f>
        <v>#N/A</v>
      </c>
      <c r="N19" s="186" t="e">
        <f>IF(K19="","",RANK(L19,$L$7:$L$27)+COUNTIF($L$7:L19,L19)-1)</f>
        <v>#N/A</v>
      </c>
      <c r="O19" s="289"/>
      <c r="P19" s="183" t="e">
        <f t="shared" si="5"/>
        <v>#N/A</v>
      </c>
      <c r="R19" s="32">
        <v>13</v>
      </c>
      <c r="S19" s="31" t="e">
        <f t="shared" si="6"/>
        <v>#N/A</v>
      </c>
      <c r="T19" s="177" t="e">
        <f>IF(S19="","",VLOOKUP(S19,'Database Lab+Equip'!$B:$D,3,FALSE))</f>
        <v>#N/A</v>
      </c>
      <c r="U19" s="177" t="e">
        <f>IF(S19="","",(SUMIF('Installation 1'!B:B,'Budget-Labour Equipment'!S19,'Installation 1'!I:I)+SUMIF('Subcontract 2'!B:B,'Budget-Labour Equipment'!S19,'Subcontract 2'!I:I)+SUMIF('Optional-3'!B:B,'Budget-Labour Equipment'!S19,'Optional-3'!I:I)+SUMIF('Mob-Demob'!B:B,'Budget-Labour Equipment'!S19,'Mob-Demob'!I:I)+SUMIF(Prelims!B:B,'Budget-Labour Equipment'!S19,Prelims!I:I)))</f>
        <v>#N/A</v>
      </c>
      <c r="V19" s="178" t="e">
        <f t="shared" si="7"/>
        <v>#N/A</v>
      </c>
    </row>
    <row r="20" spans="1:23" x14ac:dyDescent="0.3">
      <c r="A20" s="57" t="str">
        <f>IF('Database Lab+Equip'!B15="","Labour Resource",'Database Lab+Equip'!B15)</f>
        <v>Polywelder</v>
      </c>
      <c r="B20" s="181">
        <f>IF(A20="Labour Resource",0,VLOOKUP(A20,'Database Lab+Equip'!B:D,3,FALSE))</f>
        <v>125.99999999999999</v>
      </c>
      <c r="C20" s="181">
        <f>IF(SUMIF('Installation 1'!B:B,'Budget-Labour Equipment'!A20,'Installation 1'!I:I)+SUMIF('Subcontract 2'!B:B,'Budget-Labour Equipment'!A20,'Subcontract 2'!I:I)+SUMIF('Optional-3'!B:B,'Budget-Labour Equipment'!A20,'Optional-3'!I:I)+SUMIF('Mob-Demob'!B:B,'Budget-Labour Equipment'!A20,'Mob-Demob'!I:I)+SUMIF(Prelims!B:B,'Budget-Labour Equipment'!A20,Prelims!I:I)=0,0,(SUMIF('Installation 1'!B:B,'Budget-Labour Equipment'!A20,'Installation 1'!I:I)+SUMIF('Subcontract 2'!B:B,'Budget-Labour Equipment'!A20,'Subcontract 2'!I:I)+SUMIF('Optional-3'!B:B,'Budget-Labour Equipment'!A20,'Optional-3'!I:I)+SUMIF('Mob-Demob'!B:B,'Budget-Labour Equipment'!A20,'Mob-Demob'!I:I)+SUMIF(Prelims!B:B,'Budget-Labour Equipment'!A20,Prelims!I:I)))</f>
        <v>202418.99999999997</v>
      </c>
      <c r="D20" s="182">
        <f t="shared" si="0"/>
        <v>1606.5</v>
      </c>
      <c r="E20" s="183">
        <f t="shared" si="1"/>
        <v>1606.5000199999999</v>
      </c>
      <c r="F20" s="183" t="e">
        <f t="shared" si="2"/>
        <v>#REF!</v>
      </c>
      <c r="H20" s="183" t="e">
        <f t="shared" si="3"/>
        <v>#N/A</v>
      </c>
      <c r="J20" s="183">
        <v>14</v>
      </c>
      <c r="K20" s="184" t="e">
        <f t="shared" si="4"/>
        <v>#N/A</v>
      </c>
      <c r="L20" s="185" t="e">
        <f>IF(K20="","",VLOOKUP(K20,'Database Lab+Equip'!$B:$D,3,FALSE))</f>
        <v>#N/A</v>
      </c>
      <c r="M20" s="185" t="e">
        <f>IF(K20="","",SUMIF('Installation 1'!$B$3:$B$114,'Budget-Labour Equipment'!K20,'Installation 1'!$I$3:$I$114)+SUMIF('Subcontract 2'!$B$3:$B$142,'Budget-Labour Equipment'!K20,'Subcontract 2'!$I$3:$I$142)+SUMIF('Optional-3'!$B$3:$B$168,'Budget-Labour Equipment'!K20,'Optional-3'!$I$3:$I$168)+SUMIF('Mob-Demob'!$B$10:$B$110,'Budget-Labour Equipment'!K20,'Mob-Demob'!$I$10:$I$110))</f>
        <v>#N/A</v>
      </c>
      <c r="N20" s="186" t="e">
        <f>IF(K20="","",RANK(L20,$L$7:$L$27)+COUNTIF($L$7:L20,L20)-1)</f>
        <v>#N/A</v>
      </c>
      <c r="O20" s="289"/>
      <c r="P20" s="183" t="e">
        <f t="shared" si="5"/>
        <v>#N/A</v>
      </c>
      <c r="R20" s="32">
        <v>14</v>
      </c>
      <c r="S20" s="31" t="e">
        <f t="shared" si="6"/>
        <v>#N/A</v>
      </c>
      <c r="T20" s="177" t="e">
        <f>IF(S20="","",VLOOKUP(S20,'Database Lab+Equip'!$B:$D,3,FALSE))</f>
        <v>#N/A</v>
      </c>
      <c r="U20" s="177" t="e">
        <f>IF(S20="","",(SUMIF('Installation 1'!B:B,'Budget-Labour Equipment'!S20,'Installation 1'!I:I)+SUMIF('Subcontract 2'!B:B,'Budget-Labour Equipment'!S20,'Subcontract 2'!I:I)+SUMIF('Optional-3'!B:B,'Budget-Labour Equipment'!S20,'Optional-3'!I:I)+SUMIF('Mob-Demob'!B:B,'Budget-Labour Equipment'!S20,'Mob-Demob'!I:I)+SUMIF(Prelims!B:B,'Budget-Labour Equipment'!S20,Prelims!I:I)))</f>
        <v>#N/A</v>
      </c>
      <c r="V20" s="178" t="e">
        <f t="shared" si="7"/>
        <v>#N/A</v>
      </c>
    </row>
    <row r="21" spans="1:23" x14ac:dyDescent="0.3">
      <c r="A21" s="57" t="str">
        <f>IF('Database Lab+Equip'!B16="","Labour Resource",'Database Lab+Equip'!B16)</f>
        <v>Supervisor</v>
      </c>
      <c r="B21" s="181">
        <f>IF(A21="Labour Resource",0,VLOOKUP(A21,'Database Lab+Equip'!B:D,3,FALSE))</f>
        <v>140</v>
      </c>
      <c r="C21" s="181">
        <f>IF(SUMIF('Installation 1'!B:B,'Budget-Labour Equipment'!A21,'Installation 1'!I:I)+SUMIF('Subcontract 2'!B:B,'Budget-Labour Equipment'!A21,'Subcontract 2'!I:I)+SUMIF('Optional-3'!B:B,'Budget-Labour Equipment'!A21,'Optional-3'!I:I)+SUMIF('Mob-Demob'!B:B,'Budget-Labour Equipment'!A21,'Mob-Demob'!I:I)+SUMIF(Prelims!B:B,'Budget-Labour Equipment'!A21,Prelims!I:I)=0,0,(SUMIF('Installation 1'!B:B,'Budget-Labour Equipment'!A21,'Installation 1'!I:I)+SUMIF('Subcontract 2'!B:B,'Budget-Labour Equipment'!A21,'Subcontract 2'!I:I)+SUMIF('Optional-3'!B:B,'Budget-Labour Equipment'!A21,'Optional-3'!I:I)+SUMIF('Mob-Demob'!B:B,'Budget-Labour Equipment'!A21,'Mob-Demob'!I:I)+SUMIF(Prelims!B:B,'Budget-Labour Equipment'!A21,Prelims!I:I)))</f>
        <v>144648</v>
      </c>
      <c r="D21" s="182">
        <f t="shared" si="0"/>
        <v>1033.2</v>
      </c>
      <c r="E21" s="183">
        <f t="shared" si="1"/>
        <v>1033.2000210000001</v>
      </c>
      <c r="F21" s="183" t="e">
        <f t="shared" si="2"/>
        <v>#REF!</v>
      </c>
      <c r="H21" s="183" t="e">
        <f t="shared" si="3"/>
        <v>#N/A</v>
      </c>
      <c r="J21" s="183">
        <v>15</v>
      </c>
      <c r="K21" s="184" t="e">
        <f t="shared" si="4"/>
        <v>#N/A</v>
      </c>
      <c r="L21" s="185" t="e">
        <f>IF(K21="","",VLOOKUP(K21,'Database Lab+Equip'!$B:$D,3,FALSE))</f>
        <v>#N/A</v>
      </c>
      <c r="M21" s="185" t="e">
        <f>IF(K21="","",SUMIF('Installation 1'!$B$3:$B$114,'Budget-Labour Equipment'!K21,'Installation 1'!$I$3:$I$114)+SUMIF('Subcontract 2'!$B$3:$B$142,'Budget-Labour Equipment'!K21,'Subcontract 2'!$I$3:$I$142)+SUMIF('Optional-3'!$B$3:$B$168,'Budget-Labour Equipment'!K21,'Optional-3'!$I$3:$I$168)+SUMIF('Mob-Demob'!$B$10:$B$110,'Budget-Labour Equipment'!K21,'Mob-Demob'!$I$10:$I$110))</f>
        <v>#N/A</v>
      </c>
      <c r="N21" s="186" t="e">
        <f>IF(K21="","",RANK(L21,$L$7:$L$27)+COUNTIF($L$7:L21,L21)-1)</f>
        <v>#N/A</v>
      </c>
      <c r="O21" s="289"/>
      <c r="P21" s="183" t="e">
        <f t="shared" si="5"/>
        <v>#N/A</v>
      </c>
      <c r="R21" s="32">
        <v>15</v>
      </c>
      <c r="S21" s="31" t="e">
        <f t="shared" si="6"/>
        <v>#N/A</v>
      </c>
      <c r="T21" s="177" t="e">
        <f>IF(S21="","",VLOOKUP(S21,'Database Lab+Equip'!$B:$D,3,FALSE))</f>
        <v>#N/A</v>
      </c>
      <c r="U21" s="177" t="e">
        <f>IF(S21="","",(SUMIF('Installation 1'!B:B,'Budget-Labour Equipment'!S21,'Installation 1'!I:I)+SUMIF('Subcontract 2'!B:B,'Budget-Labour Equipment'!S21,'Subcontract 2'!I:I)+SUMIF('Optional-3'!B:B,'Budget-Labour Equipment'!S21,'Optional-3'!I:I)+SUMIF('Mob-Demob'!B:B,'Budget-Labour Equipment'!S21,'Mob-Demob'!I:I)+SUMIF(Prelims!B:B,'Budget-Labour Equipment'!S21,Prelims!I:I)))</f>
        <v>#N/A</v>
      </c>
      <c r="V21" s="178" t="e">
        <f t="shared" si="7"/>
        <v>#N/A</v>
      </c>
    </row>
    <row r="22" spans="1:23" x14ac:dyDescent="0.3">
      <c r="A22" s="57" t="str">
        <f>IF('Database Lab+Equip'!B17="","Labour Resource",'Database Lab+Equip'!B17)</f>
        <v>Superintendent</v>
      </c>
      <c r="B22" s="181">
        <f>IF(A22="Labour Resource",0,VLOOKUP(A22,'Database Lab+Equip'!B:D,3,FALSE))</f>
        <v>154</v>
      </c>
      <c r="C22" s="181">
        <f>IF(SUMIF('Installation 1'!B:B,'Budget-Labour Equipment'!A22,'Installation 1'!I:I)+SUMIF('Subcontract 2'!B:B,'Budget-Labour Equipment'!A22,'Subcontract 2'!I:I)+SUMIF('Optional-3'!B:B,'Budget-Labour Equipment'!A22,'Optional-3'!I:I)+SUMIF('Mob-Demob'!B:B,'Budget-Labour Equipment'!A22,'Mob-Demob'!I:I)+SUMIF(Prelims!B:B,'Budget-Labour Equipment'!A22,Prelims!I:I)=0,0,(SUMIF('Installation 1'!B:B,'Budget-Labour Equipment'!A22,'Installation 1'!I:I)+SUMIF('Subcontract 2'!B:B,'Budget-Labour Equipment'!A22,'Subcontract 2'!I:I)+SUMIF('Optional-3'!B:B,'Budget-Labour Equipment'!A22,'Optional-3'!I:I)+SUMIF('Mob-Demob'!B:B,'Budget-Labour Equipment'!A22,'Mob-Demob'!I:I)+SUMIF(Prelims!B:B,'Budget-Labour Equipment'!A22,Prelims!I:I)))</f>
        <v>0</v>
      </c>
      <c r="D22" s="182">
        <f t="shared" si="0"/>
        <v>0</v>
      </c>
      <c r="E22" s="183">
        <f t="shared" si="1"/>
        <v>2.1999999999999999E-5</v>
      </c>
      <c r="F22" s="183" t="e">
        <f t="shared" si="2"/>
        <v>#REF!</v>
      </c>
      <c r="H22" s="183" t="e">
        <f t="shared" si="3"/>
        <v>#N/A</v>
      </c>
      <c r="J22" s="183">
        <v>16</v>
      </c>
      <c r="K22" s="184" t="e">
        <f t="shared" si="4"/>
        <v>#N/A</v>
      </c>
      <c r="L22" s="185" t="e">
        <f>IF(K22="","",VLOOKUP(K22,'Database Lab+Equip'!$B:$D,3,FALSE))</f>
        <v>#N/A</v>
      </c>
      <c r="M22" s="185" t="e">
        <f>IF(K22="","",SUMIF('Installation 1'!$B$3:$B$114,'Budget-Labour Equipment'!K22,'Installation 1'!$I$3:$I$114)+SUMIF('Subcontract 2'!$B$3:$B$142,'Budget-Labour Equipment'!K22,'Subcontract 2'!$I$3:$I$142)+SUMIF('Optional-3'!$B$3:$B$168,'Budget-Labour Equipment'!K22,'Optional-3'!$I$3:$I$168)+SUMIF('Mob-Demob'!$B$10:$B$110,'Budget-Labour Equipment'!K22,'Mob-Demob'!$I$10:$I$110))</f>
        <v>#N/A</v>
      </c>
      <c r="N22" s="186" t="e">
        <f>IF(K22="","",RANK(L22,$L$7:$L$27)+COUNTIF($L$7:L22,L22)-1)</f>
        <v>#N/A</v>
      </c>
      <c r="O22" s="289"/>
      <c r="P22" s="183" t="e">
        <f t="shared" si="5"/>
        <v>#N/A</v>
      </c>
      <c r="R22" s="32">
        <v>16</v>
      </c>
      <c r="S22" s="31" t="e">
        <f t="shared" si="6"/>
        <v>#N/A</v>
      </c>
      <c r="T22" s="177" t="e">
        <f>IF(S22="","",VLOOKUP(S22,'Database Lab+Equip'!$B:$D,3,FALSE))</f>
        <v>#N/A</v>
      </c>
      <c r="U22" s="177" t="e">
        <f>IF(S22="","",(SUMIF('Installation 1'!B:B,'Budget-Labour Equipment'!S22,'Installation 1'!I:I)+SUMIF('Subcontract 2'!B:B,'Budget-Labour Equipment'!S22,'Subcontract 2'!I:I)+SUMIF('Optional-3'!B:B,'Budget-Labour Equipment'!S22,'Optional-3'!I:I)+SUMIF('Mob-Demob'!B:B,'Budget-Labour Equipment'!S22,'Mob-Demob'!I:I)+SUMIF(Prelims!B:B,'Budget-Labour Equipment'!S22,Prelims!I:I)))</f>
        <v>#N/A</v>
      </c>
      <c r="V22" s="178" t="e">
        <f t="shared" si="7"/>
        <v>#N/A</v>
      </c>
    </row>
    <row r="23" spans="1:23" x14ac:dyDescent="0.3">
      <c r="A23" s="57" t="str">
        <f>IF('Database Lab+Equip'!B18="","Labour Resource",'Database Lab+Equip'!B18)</f>
        <v>Trades Assistant</v>
      </c>
      <c r="B23" s="181">
        <f>IF(A23="Labour Resource",0,VLOOKUP(A23,'Database Lab+Equip'!B:D,3,FALSE))</f>
        <v>118.99999999999999</v>
      </c>
      <c r="C23" s="181">
        <f>IF(SUMIF('Installation 1'!B:B,'Budget-Labour Equipment'!A23,'Installation 1'!I:I)+SUMIF('Subcontract 2'!B:B,'Budget-Labour Equipment'!A23,'Subcontract 2'!I:I)+SUMIF('Optional-3'!B:B,'Budget-Labour Equipment'!A23,'Optional-3'!I:I)+SUMIF('Mob-Demob'!B:B,'Budget-Labour Equipment'!A23,'Mob-Demob'!I:I)+SUMIF(Prelims!B:B,'Budget-Labour Equipment'!A23,Prelims!I:I)=0,0,(SUMIF('Installation 1'!B:B,'Budget-Labour Equipment'!A23,'Installation 1'!I:I)+SUMIF('Subcontract 2'!B:B,'Budget-Labour Equipment'!A23,'Subcontract 2'!I:I)+SUMIF('Optional-3'!B:B,'Budget-Labour Equipment'!A23,'Optional-3'!I:I)+SUMIF('Mob-Demob'!B:B,'Budget-Labour Equipment'!A23,'Mob-Demob'!I:I)+SUMIF(Prelims!B:B,'Budget-Labour Equipment'!A23,Prelims!I:I)))</f>
        <v>67472.999999999985</v>
      </c>
      <c r="D23" s="182">
        <f t="shared" si="0"/>
        <v>567</v>
      </c>
      <c r="E23" s="183">
        <f t="shared" si="1"/>
        <v>567.00002300000006</v>
      </c>
      <c r="F23" s="183" t="e">
        <f t="shared" si="2"/>
        <v>#REF!</v>
      </c>
      <c r="H23" s="183" t="e">
        <f t="shared" si="3"/>
        <v>#N/A</v>
      </c>
      <c r="J23" s="183">
        <v>17</v>
      </c>
      <c r="K23" s="184" t="e">
        <f t="shared" si="4"/>
        <v>#N/A</v>
      </c>
      <c r="L23" s="185" t="e">
        <f>IF(K23="","",VLOOKUP(K23,'Database Lab+Equip'!$B:$D,3,FALSE))</f>
        <v>#N/A</v>
      </c>
      <c r="M23" s="185" t="e">
        <f>IF(K23="","",SUMIF('Installation 1'!$B$3:$B$114,'Budget-Labour Equipment'!K23,'Installation 1'!$I$3:$I$114)+SUMIF('Subcontract 2'!$B$3:$B$142,'Budget-Labour Equipment'!K23,'Subcontract 2'!$I$3:$I$142)+SUMIF('Optional-3'!$B$3:$B$168,'Budget-Labour Equipment'!K23,'Optional-3'!$I$3:$I$168)+SUMIF('Mob-Demob'!$B$10:$B$110,'Budget-Labour Equipment'!K23,'Mob-Demob'!$I$10:$I$110))</f>
        <v>#N/A</v>
      </c>
      <c r="N23" s="186" t="e">
        <f>IF(K23="","",RANK(L23,$L$7:$L$27)+COUNTIF($L$7:L23,L23)-1)</f>
        <v>#N/A</v>
      </c>
      <c r="O23" s="289"/>
      <c r="P23" s="183" t="e">
        <f t="shared" si="5"/>
        <v>#N/A</v>
      </c>
      <c r="R23" s="32">
        <v>17</v>
      </c>
      <c r="S23" s="31" t="e">
        <f t="shared" si="6"/>
        <v>#N/A</v>
      </c>
      <c r="T23" s="177" t="e">
        <f>IF(S23="","",VLOOKUP(S23,'Database Lab+Equip'!$B:$D,3,FALSE))</f>
        <v>#N/A</v>
      </c>
      <c r="U23" s="177" t="e">
        <f>IF(S23="","",(SUMIF('Installation 1'!B:B,'Budget-Labour Equipment'!S23,'Installation 1'!I:I)+SUMIF('Subcontract 2'!B:B,'Budget-Labour Equipment'!S23,'Subcontract 2'!I:I)+SUMIF('Optional-3'!B:B,'Budget-Labour Equipment'!S23,'Optional-3'!I:I)+SUMIF('Mob-Demob'!B:B,'Budget-Labour Equipment'!S23,'Mob-Demob'!I:I)+SUMIF(Prelims!B:B,'Budget-Labour Equipment'!S23,Prelims!I:I)))</f>
        <v>#N/A</v>
      </c>
      <c r="V23" s="178" t="e">
        <f t="shared" si="7"/>
        <v>#N/A</v>
      </c>
    </row>
    <row r="24" spans="1:23" x14ac:dyDescent="0.3">
      <c r="A24" s="57" t="str">
        <f>IF('Database Lab+Equip'!B19="","Labour Resource",'Database Lab+Equip'!B19)</f>
        <v>Leading Hand</v>
      </c>
      <c r="B24" s="181">
        <f>IF(A24="Labour Resource",0,VLOOKUP(A24,'Database Lab+Equip'!B:D,3,FALSE))</f>
        <v>133</v>
      </c>
      <c r="C24" s="181">
        <f>IF(SUMIF('Installation 1'!B:B,'Budget-Labour Equipment'!A24,'Installation 1'!I:I)+SUMIF('Subcontract 2'!B:B,'Budget-Labour Equipment'!A24,'Subcontract 2'!I:I)+SUMIF('Optional-3'!B:B,'Budget-Labour Equipment'!A24,'Optional-3'!I:I)+SUMIF('Mob-Demob'!B:B,'Budget-Labour Equipment'!A24,'Mob-Demob'!I:I)+SUMIF(Prelims!B:B,'Budget-Labour Equipment'!A24,Prelims!I:I)=0,0,(SUMIF('Installation 1'!B:B,'Budget-Labour Equipment'!A24,'Installation 1'!I:I)+SUMIF('Subcontract 2'!B:B,'Budget-Labour Equipment'!A24,'Subcontract 2'!I:I)+SUMIF('Optional-3'!B:B,'Budget-Labour Equipment'!A24,'Optional-3'!I:I)+SUMIF('Mob-Demob'!B:B,'Budget-Labour Equipment'!A24,'Mob-Demob'!I:I)+SUMIF(Prelims!B:B,'Budget-Labour Equipment'!A24,Prelims!I:I)))</f>
        <v>0</v>
      </c>
      <c r="D24" s="182">
        <f t="shared" si="0"/>
        <v>0</v>
      </c>
      <c r="E24" s="183">
        <f t="shared" si="1"/>
        <v>2.4000000000000001E-5</v>
      </c>
      <c r="F24" s="183" t="e">
        <f t="shared" si="2"/>
        <v>#REF!</v>
      </c>
      <c r="H24" s="183" t="e">
        <f t="shared" si="3"/>
        <v>#N/A</v>
      </c>
      <c r="J24" s="183">
        <v>18</v>
      </c>
      <c r="K24" s="184" t="e">
        <f t="shared" si="4"/>
        <v>#N/A</v>
      </c>
      <c r="L24" s="185" t="e">
        <f>IF(K24="","",VLOOKUP(K24,'Database Lab+Equip'!$B:$D,3,FALSE))</f>
        <v>#N/A</v>
      </c>
      <c r="M24" s="185" t="e">
        <f>IF(K24="","",SUMIF('Installation 1'!$B$3:$B$114,'Budget-Labour Equipment'!K24,'Installation 1'!$I$3:$I$114)+SUMIF('Subcontract 2'!$B$3:$B$142,'Budget-Labour Equipment'!K24,'Subcontract 2'!$I$3:$I$142)+SUMIF('Optional-3'!$B$3:$B$168,'Budget-Labour Equipment'!K24,'Optional-3'!$I$3:$I$168)+SUMIF('Mob-Demob'!$B$10:$B$110,'Budget-Labour Equipment'!K24,'Mob-Demob'!$I$10:$I$110))</f>
        <v>#N/A</v>
      </c>
      <c r="N24" s="186" t="e">
        <f>IF(K24="","",RANK(L24,$L$7:$L$27)+COUNTIF($L$7:L24,L24)-1)</f>
        <v>#N/A</v>
      </c>
      <c r="O24" s="289"/>
      <c r="P24" s="183" t="e">
        <f t="shared" si="5"/>
        <v>#N/A</v>
      </c>
      <c r="R24" s="32">
        <v>18</v>
      </c>
      <c r="S24" s="31" t="e">
        <f t="shared" si="6"/>
        <v>#N/A</v>
      </c>
      <c r="T24" s="177" t="e">
        <f>IF(S24="","",VLOOKUP(S24,'Database Lab+Equip'!$B:$D,3,FALSE))</f>
        <v>#N/A</v>
      </c>
      <c r="U24" s="177" t="e">
        <f>IF(S24="","",(SUMIF('Installation 1'!B:B,'Budget-Labour Equipment'!S24,'Installation 1'!I:I)+SUMIF('Subcontract 2'!B:B,'Budget-Labour Equipment'!S24,'Subcontract 2'!I:I)+SUMIF('Optional-3'!B:B,'Budget-Labour Equipment'!S24,'Optional-3'!I:I)+SUMIF('Mob-Demob'!B:B,'Budget-Labour Equipment'!S24,'Mob-Demob'!I:I)+SUMIF(Prelims!B:B,'Budget-Labour Equipment'!S24,Prelims!I:I)))</f>
        <v>#N/A</v>
      </c>
      <c r="V24" s="178" t="e">
        <f t="shared" si="7"/>
        <v>#N/A</v>
      </c>
    </row>
    <row r="25" spans="1:23" x14ac:dyDescent="0.3">
      <c r="A25" s="57" t="str">
        <f>IF('Database Lab+Equip'!B20="","Labour Resource",'Database Lab+Equip'!B20)</f>
        <v>Nominee</v>
      </c>
      <c r="B25" s="181">
        <f>IF(A25="Labour Resource",0,VLOOKUP(A25,'Database Lab+Equip'!B:D,3,FALSE))</f>
        <v>140</v>
      </c>
      <c r="C25" s="181">
        <f>IF(SUMIF('Installation 1'!B:B,'Budget-Labour Equipment'!A25,'Installation 1'!I:I)+SUMIF('Subcontract 2'!B:B,'Budget-Labour Equipment'!A25,'Subcontract 2'!I:I)+SUMIF('Optional-3'!B:B,'Budget-Labour Equipment'!A25,'Optional-3'!I:I)+SUMIF('Mob-Demob'!B:B,'Budget-Labour Equipment'!A25,'Mob-Demob'!I:I)+SUMIF(Prelims!B:B,'Budget-Labour Equipment'!A25,Prelims!I:I)=0,0,(SUMIF('Installation 1'!B:B,'Budget-Labour Equipment'!A25,'Installation 1'!I:I)+SUMIF('Subcontract 2'!B:B,'Budget-Labour Equipment'!A25,'Subcontract 2'!I:I)+SUMIF('Optional-3'!B:B,'Budget-Labour Equipment'!A25,'Optional-3'!I:I)+SUMIF('Mob-Demob'!B:B,'Budget-Labour Equipment'!A25,'Mob-Demob'!I:I)+SUMIF(Prelims!B:B,'Budget-Labour Equipment'!A25,Prelims!I:I)))</f>
        <v>0</v>
      </c>
      <c r="D25" s="182">
        <f t="shared" si="0"/>
        <v>0</v>
      </c>
      <c r="E25" s="183">
        <f t="shared" si="1"/>
        <v>2.4999999999999998E-5</v>
      </c>
      <c r="F25" s="183" t="e">
        <f t="shared" si="2"/>
        <v>#REF!</v>
      </c>
      <c r="H25" s="183" t="e">
        <f t="shared" si="3"/>
        <v>#N/A</v>
      </c>
      <c r="J25" s="183">
        <v>19</v>
      </c>
      <c r="K25" s="184" t="e">
        <f t="shared" si="4"/>
        <v>#N/A</v>
      </c>
      <c r="L25" s="185" t="e">
        <f>IF(K25="","",VLOOKUP(K25,'Database Lab+Equip'!$B:$D,3,FALSE))</f>
        <v>#N/A</v>
      </c>
      <c r="M25" s="185" t="e">
        <f>IF(K25="","",SUMIF('Installation 1'!$B$3:$B$114,'Budget-Labour Equipment'!K25,'Installation 1'!$I$3:$I$114)+SUMIF('Subcontract 2'!$B$3:$B$142,'Budget-Labour Equipment'!K25,'Subcontract 2'!$I$3:$I$142)+SUMIF('Optional-3'!$B$3:$B$168,'Budget-Labour Equipment'!K25,'Optional-3'!$I$3:$I$168)+SUMIF('Mob-Demob'!$B$10:$B$110,'Budget-Labour Equipment'!K25,'Mob-Demob'!$I$10:$I$110))</f>
        <v>#N/A</v>
      </c>
      <c r="N25" s="186" t="e">
        <f>IF(K25="","",RANK(L25,$L$7:$L$27)+COUNTIF($L$7:L25,L25)-1)</f>
        <v>#N/A</v>
      </c>
      <c r="O25" s="289"/>
      <c r="P25" s="183" t="e">
        <f t="shared" si="5"/>
        <v>#N/A</v>
      </c>
      <c r="R25" s="32">
        <v>19</v>
      </c>
      <c r="S25" s="31" t="e">
        <f t="shared" si="6"/>
        <v>#N/A</v>
      </c>
      <c r="T25" s="177" t="e">
        <f>IF(S25="","",VLOOKUP(S25,'Database Lab+Equip'!$B:$D,3,FALSE))</f>
        <v>#N/A</v>
      </c>
      <c r="U25" s="177" t="e">
        <f>IF(S25="","",(SUMIF('Installation 1'!B:B,'Budget-Labour Equipment'!S25,'Installation 1'!I:I)+SUMIF('Subcontract 2'!B:B,'Budget-Labour Equipment'!S25,'Subcontract 2'!I:I)+SUMIF('Optional-3'!B:B,'Budget-Labour Equipment'!S25,'Optional-3'!I:I)+SUMIF('Mob-Demob'!B:B,'Budget-Labour Equipment'!S25,'Mob-Demob'!I:I)+SUMIF(Prelims!B:B,'Budget-Labour Equipment'!S25,Prelims!I:I)))</f>
        <v>#N/A</v>
      </c>
      <c r="V25" s="178" t="e">
        <f t="shared" si="7"/>
        <v>#N/A</v>
      </c>
    </row>
    <row r="26" spans="1:23" x14ac:dyDescent="0.3">
      <c r="A26" s="57" t="e">
        <f>IF('Database Lab+Equip'!#REF!="","Labour Resource",'Database Lab+Equip'!#REF!)</f>
        <v>#REF!</v>
      </c>
      <c r="B26" s="181" t="e">
        <f>IF(A26="Labour Resource",0,VLOOKUP(A26,'Database Lab+Equip'!B:D,3,FALSE))</f>
        <v>#REF!</v>
      </c>
      <c r="C26" s="181">
        <f>IF(SUMIF('Installation 1'!B:B,'Budget-Labour Equipment'!A26,'Installation 1'!I:I)+SUMIF('Subcontract 2'!B:B,'Budget-Labour Equipment'!A26,'Subcontract 2'!I:I)+SUMIF('Optional-3'!B:B,'Budget-Labour Equipment'!A26,'Optional-3'!I:I)+SUMIF('Mob-Demob'!B:B,'Budget-Labour Equipment'!A26,'Mob-Demob'!I:I)+SUMIF(Prelims!B:B,'Budget-Labour Equipment'!A26,Prelims!I:I)=0,0,(SUMIF('Installation 1'!B:B,'Budget-Labour Equipment'!A26,'Installation 1'!I:I)+SUMIF('Subcontract 2'!B:B,'Budget-Labour Equipment'!A26,'Subcontract 2'!I:I)+SUMIF('Optional-3'!B:B,'Budget-Labour Equipment'!A26,'Optional-3'!I:I)+SUMIF('Mob-Demob'!B:B,'Budget-Labour Equipment'!A26,'Mob-Demob'!I:I)+SUMIF(Prelims!B:B,'Budget-Labour Equipment'!A26,Prelims!I:I)))</f>
        <v>0</v>
      </c>
      <c r="D26" s="182" t="e">
        <f t="shared" si="0"/>
        <v>#REF!</v>
      </c>
      <c r="E26" s="183" t="e">
        <f t="shared" si="1"/>
        <v>#REF!</v>
      </c>
      <c r="F26" s="183" t="e">
        <f t="shared" si="2"/>
        <v>#REF!</v>
      </c>
      <c r="H26" s="183" t="e">
        <f t="shared" si="3"/>
        <v>#N/A</v>
      </c>
      <c r="J26" s="183">
        <v>20</v>
      </c>
      <c r="K26" s="184" t="e">
        <f t="shared" si="4"/>
        <v>#N/A</v>
      </c>
      <c r="L26" s="185" t="e">
        <f>IF(K26="","",VLOOKUP(K26,'Database Lab+Equip'!$B:$D,3,FALSE))</f>
        <v>#N/A</v>
      </c>
      <c r="M26" s="185" t="e">
        <f>IF(K26="","",SUMIF('Installation 1'!$B$3:$B$114,'Budget-Labour Equipment'!K26,'Installation 1'!$I$3:$I$114)+SUMIF('Subcontract 2'!$B$3:$B$142,'Budget-Labour Equipment'!K26,'Subcontract 2'!$I$3:$I$142)+SUMIF('Optional-3'!$B$3:$B$168,'Budget-Labour Equipment'!K26,'Optional-3'!$I$3:$I$168)+SUMIF('Mob-Demob'!$B$10:$B$110,'Budget-Labour Equipment'!K26,'Mob-Demob'!$I$10:$I$110))</f>
        <v>#N/A</v>
      </c>
      <c r="N26" s="186" t="e">
        <f>IF(K26="","",RANK(L26,$L$7:$L$27)+COUNTIF($L$7:L26,L26)-1)</f>
        <v>#N/A</v>
      </c>
      <c r="O26" s="289"/>
      <c r="P26" s="183" t="e">
        <f t="shared" si="5"/>
        <v>#N/A</v>
      </c>
      <c r="R26" s="32">
        <v>20</v>
      </c>
      <c r="S26" s="31" t="e">
        <f t="shared" si="6"/>
        <v>#N/A</v>
      </c>
      <c r="T26" s="177" t="e">
        <f>IF(S26="","",VLOOKUP(S26,'Database Lab+Equip'!$B:$D,3,FALSE))</f>
        <v>#N/A</v>
      </c>
      <c r="U26" s="177" t="e">
        <f>IF(S26="","",(SUMIF('Installation 1'!B:B,'Budget-Labour Equipment'!S26,'Installation 1'!I:I)+SUMIF('Subcontract 2'!B:B,'Budget-Labour Equipment'!S26,'Subcontract 2'!I:I)+SUMIF('Optional-3'!B:B,'Budget-Labour Equipment'!S26,'Optional-3'!I:I)+SUMIF('Mob-Demob'!B:B,'Budget-Labour Equipment'!S26,'Mob-Demob'!I:I)+SUMIF(Prelims!B:B,'Budget-Labour Equipment'!S26,Prelims!I:I)))</f>
        <v>#N/A</v>
      </c>
      <c r="V26" s="178" t="e">
        <f t="shared" si="7"/>
        <v>#N/A</v>
      </c>
    </row>
    <row r="27" spans="1:23" x14ac:dyDescent="0.3">
      <c r="A27" s="57" t="str">
        <f>IF('Database Lab+Equip'!B21="","Labour Resource",'Database Lab+Equip'!B21)</f>
        <v>Inductions</v>
      </c>
      <c r="B27" s="181">
        <f>IF(A27="Labour Resource",0,VLOOKUP(A27,'Database Lab+Equip'!B:D,3,FALSE))</f>
        <v>112</v>
      </c>
      <c r="C27" s="181">
        <f>IF(SUMIF('Installation 1'!B:B,'Budget-Labour Equipment'!A27,'Installation 1'!I:I)+SUMIF('Subcontract 2'!B:B,'Budget-Labour Equipment'!A27,'Subcontract 2'!I:I)+SUMIF('Optional-3'!B:B,'Budget-Labour Equipment'!A27,'Optional-3'!I:I)+SUMIF('Mob-Demob'!B:B,'Budget-Labour Equipment'!A27,'Mob-Demob'!I:I)+SUMIF(Prelims!B:B,'Budget-Labour Equipment'!A27,Prelims!I:I)=0,0,(SUMIF('Installation 1'!B:B,'Budget-Labour Equipment'!A27,'Installation 1'!I:I)+SUMIF('Subcontract 2'!B:B,'Budget-Labour Equipment'!A27,'Subcontract 2'!I:I)+SUMIF('Optional-3'!B:B,'Budget-Labour Equipment'!A27,'Optional-3'!I:I)+SUMIF('Mob-Demob'!B:B,'Budget-Labour Equipment'!A27,'Mob-Demob'!I:I)+SUMIF(Prelims!B:B,'Budget-Labour Equipment'!A27,Prelims!I:I)))</f>
        <v>4586.3999999999996</v>
      </c>
      <c r="D27" s="182">
        <f t="shared" si="0"/>
        <v>40.949999999999996</v>
      </c>
      <c r="E27" s="183">
        <f t="shared" si="1"/>
        <v>40.950026999999999</v>
      </c>
      <c r="F27" s="183" t="e">
        <f t="shared" si="2"/>
        <v>#REF!</v>
      </c>
      <c r="H27" s="183" t="e">
        <f>MATCH(J27,$F$7:$F$27,0)</f>
        <v>#N/A</v>
      </c>
      <c r="J27" s="183">
        <v>21</v>
      </c>
      <c r="K27" s="184" t="e">
        <f>IF(VLOOKUP((INDEX($A$7:$A$27,H27)),$A$7:$D$27,4,FALSE)=0,"",(INDEX($A$7:$A$27,H27)))</f>
        <v>#N/A</v>
      </c>
      <c r="L27" s="185" t="e">
        <f>IF(K27="","",VLOOKUP(K27,'Database Lab+Equip'!$B:$D,3,FALSE))</f>
        <v>#N/A</v>
      </c>
      <c r="M27" s="185" t="e">
        <f>IF(K27="","",SUMIF('Installation 1'!$B$3:$B$114,'Budget-Labour Equipment'!K27,'Installation 1'!$I$3:$I$114)+SUMIF('Subcontract 2'!$B$3:$B$142,'Budget-Labour Equipment'!K27,'Subcontract 2'!$I$3:$I$142)+SUMIF('Optional-3'!$B$3:$B$168,'Budget-Labour Equipment'!K27,'Optional-3'!$I$3:$I$168)+SUMIF('Mob-Demob'!$B$10:$B$110,'Budget-Labour Equipment'!K27,'Mob-Demob'!$I$10:$I$110))</f>
        <v>#N/A</v>
      </c>
      <c r="N27" s="186" t="e">
        <f>IF(K27="","",RANK(L27,$L$7:$L$27)+COUNTIF($L$7:L27,L27)-1)</f>
        <v>#N/A</v>
      </c>
      <c r="O27" s="289"/>
      <c r="P27" s="183" t="e">
        <f t="shared" si="5"/>
        <v>#N/A</v>
      </c>
      <c r="R27" s="32">
        <v>21</v>
      </c>
      <c r="S27" s="31" t="e">
        <f t="shared" si="6"/>
        <v>#N/A</v>
      </c>
      <c r="T27" s="177" t="e">
        <f>IF(S27="","",VLOOKUP(S27,'Database Lab+Equip'!$B:$D,3,FALSE))</f>
        <v>#N/A</v>
      </c>
      <c r="U27" s="177" t="e">
        <f>IF(S27="","",(SUMIF('Installation 1'!B:B,'Budget-Labour Equipment'!S27,'Installation 1'!I:I)+SUMIF('Subcontract 2'!B:B,'Budget-Labour Equipment'!S27,'Subcontract 2'!I:I)+SUMIF('Optional-3'!B:B,'Budget-Labour Equipment'!S27,'Optional-3'!I:I)+SUMIF('Mob-Demob'!B:B,'Budget-Labour Equipment'!S27,'Mob-Demob'!I:I)+SUMIF(Prelims!B:B,'Budget-Labour Equipment'!S27,Prelims!I:I)))</f>
        <v>#N/A</v>
      </c>
      <c r="V27" s="178" t="e">
        <f t="shared" si="7"/>
        <v>#N/A</v>
      </c>
    </row>
    <row r="28" spans="1:23" x14ac:dyDescent="0.3">
      <c r="A28"/>
      <c r="B28"/>
      <c r="C28"/>
      <c r="D28"/>
      <c r="E28"/>
      <c r="F28"/>
      <c r="G28"/>
      <c r="H28"/>
      <c r="I28"/>
      <c r="J28"/>
      <c r="K28" s="287"/>
      <c r="L28"/>
      <c r="M28"/>
      <c r="N28"/>
      <c r="O28"/>
      <c r="P28"/>
      <c r="Q28"/>
      <c r="R28"/>
      <c r="T28" s="177"/>
      <c r="U28" s="31"/>
      <c r="V28" s="31"/>
    </row>
    <row r="29" spans="1:23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286" t="s">
        <v>79</v>
      </c>
      <c r="T29" s="188"/>
      <c r="U29" s="189" t="e">
        <f>SUM(U31:U135)</f>
        <v>#N/A</v>
      </c>
      <c r="V29" s="190" t="e">
        <f>SUM(V31:V135)</f>
        <v>#N/A</v>
      </c>
    </row>
    <row r="30" spans="1:23" ht="69" x14ac:dyDescent="0.3">
      <c r="A30" s="180" t="s">
        <v>80</v>
      </c>
      <c r="B30" s="180" t="s">
        <v>81</v>
      </c>
      <c r="C30" s="180" t="s">
        <v>72</v>
      </c>
      <c r="D30" s="180" t="s">
        <v>24</v>
      </c>
      <c r="E30" s="180" t="s">
        <v>82</v>
      </c>
      <c r="F30" s="180" t="s">
        <v>75</v>
      </c>
      <c r="G30" s="135"/>
      <c r="H30" s="180" t="s">
        <v>76</v>
      </c>
      <c r="I30" s="135"/>
      <c r="J30" s="180" t="s">
        <v>77</v>
      </c>
      <c r="K30" s="180" t="s">
        <v>80</v>
      </c>
      <c r="L30" s="180" t="s">
        <v>81</v>
      </c>
      <c r="M30" s="180" t="s">
        <v>72</v>
      </c>
      <c r="N30" s="180" t="s">
        <v>78</v>
      </c>
      <c r="P30" s="180" t="s">
        <v>76</v>
      </c>
      <c r="Q30" s="135"/>
      <c r="R30" s="180" t="s">
        <v>77</v>
      </c>
      <c r="S30" s="135" t="s">
        <v>80</v>
      </c>
      <c r="T30" s="135" t="s">
        <v>83</v>
      </c>
      <c r="U30" s="135" t="s">
        <v>72</v>
      </c>
      <c r="V30" s="135" t="s">
        <v>24</v>
      </c>
      <c r="W30" s="135"/>
    </row>
    <row r="31" spans="1:23" x14ac:dyDescent="0.3">
      <c r="A31" s="57" t="str">
        <f>IF('Database Lab+Equip'!G2="","Equip. Resource",'Database Lab+Equip'!G2)</f>
        <v>Misc. Materials</v>
      </c>
      <c r="B31" s="181">
        <f>IF(A31="Equip. Resource",0,VLOOKUP(A31,'Database Lab+Equip'!G:I,3,FALSE))</f>
        <v>45</v>
      </c>
      <c r="C31" s="181">
        <f>IF(SUMIF('Installation 1'!B:B,'Budget-Labour Equipment'!A31,'Installation 1'!I:I)+SUMIF('Subcontract 2'!B:B,'Budget-Labour Equipment'!A31,'Subcontract 2'!I:I)+SUMIF('Optional-3'!B:B,'Budget-Labour Equipment'!A31,'Optional-3'!I:I)+SUMIF('Mob-Demob'!B:B,'Budget-Labour Equipment'!A31,'Mob-Demob'!I:I)+SUMIF(Prelims!B:B,'Budget-Labour Equipment'!A31,Prelims!I:I)=0,0,(SUMIF('Installation 1'!B:B,'Budget-Labour Equipment'!A31,'Installation 1'!I:I)+SUMIF('Subcontract 2'!B:B,'Budget-Labour Equipment'!A31,'Subcontract 2'!I:I)+SUMIF('Optional-3'!B:B,'Budget-Labour Equipment'!A31,'Optional-3'!I:I)+SUMIF('Mob-Demob'!B:B,'Budget-Labour Equipment'!A31,'Mob-Demob'!I:I)+SUMIF(Prelims!B:B,'Budget-Labour Equipment'!A31,Prelims!I:I)))</f>
        <v>0</v>
      </c>
      <c r="D31" s="182">
        <f>IF(B31=0,0,C31/B31)</f>
        <v>0</v>
      </c>
      <c r="E31" s="183">
        <f>D31+0.000001*ROW()</f>
        <v>3.1000000000000001E-5</v>
      </c>
      <c r="F31" s="183" t="e">
        <f>RANK(E31,$E$31:$E$135,0)</f>
        <v>#REF!</v>
      </c>
      <c r="H31" s="183" t="e">
        <f>MATCH(J31,$F$31:$F$135,0)</f>
        <v>#N/A</v>
      </c>
      <c r="J31" s="183">
        <v>1</v>
      </c>
      <c r="K31" s="184" t="e">
        <f>IF(VLOOKUP((INDEX($A$31:$A$135,H31)),$A$31:$D$135,4,FALSE)=0,"",(INDEX($A$31:$A$135,H31)))</f>
        <v>#N/A</v>
      </c>
      <c r="L31" s="185" t="e">
        <f>IF(K31="","",VLOOKUP(K31,'Database Lab+Equip'!$G:$I,3,FALSE))</f>
        <v>#N/A</v>
      </c>
      <c r="M31" s="185" t="e">
        <f>IF(K31="","",SUMIF('Installation 1'!B:B,'Budget-Labour Equipment'!K31,'Installation 1'!I:I)+SUMIF('Subcontract 2'!B:B,'Budget-Labour Equipment'!K31,'Subcontract 2'!I:I)+SUMIF('Optional-3'!B:B,'Budget-Labour Equipment'!K31,'Optional-3'!I:I)+SUMIF('Mob-Demob'!B:B,'Budget-Labour Equipment'!K31,'Mob-Demob'!I:I))</f>
        <v>#N/A</v>
      </c>
      <c r="N31" s="186" t="e">
        <f>IF(K31="","",RANK(L31,$L$31:$L$135)+COUNTIF($L$31:L31,L31)-1)</f>
        <v>#N/A</v>
      </c>
      <c r="P31" s="183" t="e">
        <f>MATCH(R31,$N$31:$N$135,0)</f>
        <v>#N/A</v>
      </c>
      <c r="R31" s="32">
        <v>1</v>
      </c>
      <c r="S31" s="31" t="e">
        <f>IF(K31="","",(INDEX($K$31:$K$135,P31,1)))</f>
        <v>#N/A</v>
      </c>
      <c r="T31" s="177" t="e">
        <f>IF(S31="","",VLOOKUP(S31,'Database Lab+Equip'!$G:$I,3,FALSE))</f>
        <v>#N/A</v>
      </c>
      <c r="U31" s="177" t="e">
        <f>IF(S31="","",(SUMIF('Installation 1'!B:B,'Budget-Labour Equipment'!S31,'Installation 1'!I:I)+SUMIF('Subcontract 2'!B:B,'Budget-Labour Equipment'!S31,'Subcontract 2'!I:I)+SUMIF('Optional-3'!B:B,'Budget-Labour Equipment'!S31,'Optional-3'!I:I)+SUMIF('Mob-Demob'!B:B,'Budget-Labour Equipment'!S31,'Mob-Demob'!I:I)+SUMIF(Prelims!B:B,'Budget-Labour Equipment'!S31,Prelims!I:I)))</f>
        <v>#N/A</v>
      </c>
      <c r="V31" s="178" t="e">
        <f>IF(S31="","",U31/T31)</f>
        <v>#N/A</v>
      </c>
    </row>
    <row r="32" spans="1:23" x14ac:dyDescent="0.3">
      <c r="A32" s="57" t="str">
        <f>IF('Database Lab+Equip'!G3="","Equip. Resource",'Database Lab+Equip'!G3)</f>
        <v>Self Contained office/crib/toilet</v>
      </c>
      <c r="B32" s="181">
        <f>IF(A32="Equip. Resource",0,VLOOKUP(A32,'Database Lab+Equip'!G:I,3,FALSE))</f>
        <v>285.59999999999997</v>
      </c>
      <c r="C32" s="181">
        <f>IF(SUMIF('Installation 1'!B:B,'Budget-Labour Equipment'!A32,'Installation 1'!I:I)+SUMIF('Subcontract 2'!B:B,'Budget-Labour Equipment'!A32,'Subcontract 2'!I:I)+SUMIF('Optional-3'!B:B,'Budget-Labour Equipment'!A32,'Optional-3'!I:I)+SUMIF('Mob-Demob'!B:B,'Budget-Labour Equipment'!A32,'Mob-Demob'!I:I)+SUMIF(Prelims!B:B,'Budget-Labour Equipment'!A32,Prelims!I:I)=0,0,(SUMIF('Installation 1'!B:B,'Budget-Labour Equipment'!A32,'Installation 1'!I:I)+SUMIF('Subcontract 2'!B:B,'Budget-Labour Equipment'!A32,'Subcontract 2'!I:I)+SUMIF('Optional-3'!B:B,'Budget-Labour Equipment'!A32,'Optional-3'!I:I)+SUMIF('Mob-Demob'!B:B,'Budget-Labour Equipment'!A32,'Mob-Demob'!I:I)+SUMIF(Prelims!B:B,'Budget-Labour Equipment'!A32,Prelims!I:I)))</f>
        <v>23990.399999999998</v>
      </c>
      <c r="D32" s="182">
        <f t="shared" ref="D32:D95" si="8">IF(B32=0,0,C32/B32)</f>
        <v>84</v>
      </c>
      <c r="E32" s="183">
        <f t="shared" ref="E32:E95" si="9">D32+0.000001*ROW()</f>
        <v>84.000032000000004</v>
      </c>
      <c r="F32" s="183" t="e">
        <f t="shared" ref="F32:F95" si="10">RANK(E32,$E$31:$E$135,0)</f>
        <v>#REF!</v>
      </c>
      <c r="H32" s="183" t="e">
        <f t="shared" ref="H32:H95" si="11">MATCH(J32,$F$31:$F$135,0)</f>
        <v>#N/A</v>
      </c>
      <c r="J32" s="183">
        <v>2</v>
      </c>
      <c r="K32" s="184" t="e">
        <f>IF(VLOOKUP((INDEX($A$31:$A$135,H32)),$A$31:$D$135,4,FALSE)=0,"",(INDEX($A$31:$A$135,H32)))</f>
        <v>#N/A</v>
      </c>
      <c r="L32" s="185" t="e">
        <f>IF(K32="","",VLOOKUP(K32,'Database Lab+Equip'!$G:$I,3,FALSE))</f>
        <v>#N/A</v>
      </c>
      <c r="M32" s="185" t="e">
        <f>IF(K32="","",SUMIF('Installation 1'!B:B,'Budget-Labour Equipment'!K32,'Installation 1'!I:I)+SUMIF('Subcontract 2'!B:B,'Budget-Labour Equipment'!K32,'Subcontract 2'!I:I)+SUMIF('Optional-3'!B:B,'Budget-Labour Equipment'!K32,'Optional-3'!I:I)+SUMIF('Mob-Demob'!B:B,'Budget-Labour Equipment'!K32,'Mob-Demob'!I:I))</f>
        <v>#N/A</v>
      </c>
      <c r="N32" s="186" t="e">
        <f>IF(K32="","",RANK(L32,$L$31:$L$135)+COUNTIF($L$31:L32,L32)-1)</f>
        <v>#N/A</v>
      </c>
      <c r="P32" s="183" t="e">
        <f t="shared" ref="P32:P95" si="12">MATCH(R32,$N$31:$N$135,0)</f>
        <v>#N/A</v>
      </c>
      <c r="R32" s="32">
        <v>2</v>
      </c>
      <c r="S32" s="31" t="e">
        <f t="shared" ref="S32:S95" si="13">IF(K32="","",(INDEX($K$31:$K$135,P32,1)))</f>
        <v>#N/A</v>
      </c>
      <c r="T32" s="177" t="e">
        <f>IF(S32="","",VLOOKUP(S32,'Database Lab+Equip'!$G:$I,3,FALSE))</f>
        <v>#N/A</v>
      </c>
      <c r="U32" s="177" t="e">
        <f>IF(S32="","",(SUMIF('Installation 1'!B:B,'Budget-Labour Equipment'!S32,'Installation 1'!I:I)+SUMIF('Subcontract 2'!B:B,'Budget-Labour Equipment'!S32,'Subcontract 2'!I:I)+SUMIF('Optional-3'!B:B,'Budget-Labour Equipment'!S32,'Optional-3'!I:I)+SUMIF('Mob-Demob'!B:B,'Budget-Labour Equipment'!S32,'Mob-Demob'!I:I)+SUMIF(Prelims!B:B,'Budget-Labour Equipment'!S32,Prelims!I:I)))</f>
        <v>#N/A</v>
      </c>
      <c r="V32" s="178" t="e">
        <f t="shared" ref="V32:V95" si="14">IF(S32="","",U32/T32)</f>
        <v>#N/A</v>
      </c>
    </row>
    <row r="33" spans="1:22" x14ac:dyDescent="0.3">
      <c r="A33" s="57" t="str">
        <f>IF('Database Lab+Equip'!G4="","Equip. Resource",'Database Lab+Equip'!G4)</f>
        <v>Stihl MS-390 Chainsaw</v>
      </c>
      <c r="B33" s="181">
        <f>IF(A33="Equip. Resource",0,VLOOKUP(A33,'Database Lab+Equip'!G:I,3,FALSE))</f>
        <v>54</v>
      </c>
      <c r="C33" s="181">
        <f>IF(SUMIF('Installation 1'!B:B,'Budget-Labour Equipment'!A33,'Installation 1'!I:I)+SUMIF('Subcontract 2'!B:B,'Budget-Labour Equipment'!A33,'Subcontract 2'!I:I)+SUMIF('Optional-3'!B:B,'Budget-Labour Equipment'!A33,'Optional-3'!I:I)+SUMIF('Mob-Demob'!B:B,'Budget-Labour Equipment'!A33,'Mob-Demob'!I:I)+SUMIF(Prelims!B:B,'Budget-Labour Equipment'!A33,Prelims!I:I)=0,0,(SUMIF('Installation 1'!B:B,'Budget-Labour Equipment'!A33,'Installation 1'!I:I)+SUMIF('Subcontract 2'!B:B,'Budget-Labour Equipment'!A33,'Subcontract 2'!I:I)+SUMIF('Optional-3'!B:B,'Budget-Labour Equipment'!A33,'Optional-3'!I:I)+SUMIF('Mob-Demob'!B:B,'Budget-Labour Equipment'!A33,'Mob-Demob'!I:I)+SUMIF(Prelims!B:B,'Budget-Labour Equipment'!A33,Prelims!I:I)))</f>
        <v>5528.25</v>
      </c>
      <c r="D33" s="182">
        <f t="shared" si="8"/>
        <v>102.375</v>
      </c>
      <c r="E33" s="183">
        <f t="shared" si="9"/>
        <v>102.375033</v>
      </c>
      <c r="F33" s="183" t="e">
        <f t="shared" si="10"/>
        <v>#REF!</v>
      </c>
      <c r="H33" s="183" t="e">
        <f t="shared" si="11"/>
        <v>#N/A</v>
      </c>
      <c r="J33" s="183">
        <v>3</v>
      </c>
      <c r="K33" s="184" t="e">
        <f t="shared" ref="K33:K95" si="15">IF(VLOOKUP((INDEX($A$31:$A$135,H33)),$A$31:$D$135,4,FALSE)=0,"",(INDEX($A$31:$A$135,H33)))</f>
        <v>#N/A</v>
      </c>
      <c r="L33" s="185" t="e">
        <f>IF(K33="","",VLOOKUP(K33,'Database Lab+Equip'!$G:$I,3,FALSE))</f>
        <v>#N/A</v>
      </c>
      <c r="M33" s="185" t="e">
        <f>IF(K33="","",SUMIF('Installation 1'!B:B,'Budget-Labour Equipment'!K33,'Installation 1'!I:I)+SUMIF('Subcontract 2'!B:B,'Budget-Labour Equipment'!K33,'Subcontract 2'!I:I)+SUMIF('Optional-3'!B:B,'Budget-Labour Equipment'!K33,'Optional-3'!I:I)+SUMIF('Mob-Demob'!B:B,'Budget-Labour Equipment'!K33,'Mob-Demob'!I:I))</f>
        <v>#N/A</v>
      </c>
      <c r="N33" s="186" t="e">
        <f>IF(K33="","",RANK(L33,$L$31:$L$135)+COUNTIF($L$31:L33,L33)-1)</f>
        <v>#N/A</v>
      </c>
      <c r="P33" s="183" t="e">
        <f t="shared" si="12"/>
        <v>#N/A</v>
      </c>
      <c r="R33" s="32">
        <v>3</v>
      </c>
      <c r="S33" s="31" t="e">
        <f t="shared" si="13"/>
        <v>#N/A</v>
      </c>
      <c r="T33" s="177" t="e">
        <f>IF(S33="","",VLOOKUP(S33,'Database Lab+Equip'!$G:$I,3,FALSE))</f>
        <v>#N/A</v>
      </c>
      <c r="U33" s="177" t="e">
        <f>IF(S33="","",(SUMIF('Installation 1'!B:B,'Budget-Labour Equipment'!S33,'Installation 1'!I:I)+SUMIF('Subcontract 2'!B:B,'Budget-Labour Equipment'!S33,'Subcontract 2'!I:I)+SUMIF('Optional-3'!B:B,'Budget-Labour Equipment'!S33,'Optional-3'!I:I)+SUMIF('Mob-Demob'!B:B,'Budget-Labour Equipment'!S33,'Mob-Demob'!I:I)+SUMIF(Prelims!B:B,'Budget-Labour Equipment'!S33,Prelims!I:I)))</f>
        <v>#N/A</v>
      </c>
      <c r="V33" s="178" t="e">
        <f t="shared" si="14"/>
        <v>#N/A</v>
      </c>
    </row>
    <row r="34" spans="1:22" x14ac:dyDescent="0.3">
      <c r="A34" s="57" t="e">
        <f>IF('Database Lab+Equip'!#REF!="","Equip. Resource",'Database Lab+Equip'!#REF!)</f>
        <v>#REF!</v>
      </c>
      <c r="B34" s="181" t="e">
        <f>IF(A34="Equip. Resource",0,VLOOKUP(A34,'Database Lab+Equip'!G:I,3,FALSE))</f>
        <v>#REF!</v>
      </c>
      <c r="C34" s="181">
        <f>IF(SUMIF('Installation 1'!B:B,'Budget-Labour Equipment'!A34,'Installation 1'!I:I)+SUMIF('Subcontract 2'!B:B,'Budget-Labour Equipment'!A34,'Subcontract 2'!I:I)+SUMIF('Optional-3'!B:B,'Budget-Labour Equipment'!A34,'Optional-3'!I:I)+SUMIF('Mob-Demob'!B:B,'Budget-Labour Equipment'!A34,'Mob-Demob'!I:I)+SUMIF(Prelims!B:B,'Budget-Labour Equipment'!A34,Prelims!I:I)=0,0,(SUMIF('Installation 1'!B:B,'Budget-Labour Equipment'!A34,'Installation 1'!I:I)+SUMIF('Subcontract 2'!B:B,'Budget-Labour Equipment'!A34,'Subcontract 2'!I:I)+SUMIF('Optional-3'!B:B,'Budget-Labour Equipment'!A34,'Optional-3'!I:I)+SUMIF('Mob-Demob'!B:B,'Budget-Labour Equipment'!A34,'Mob-Demob'!I:I)+SUMIF(Prelims!B:B,'Budget-Labour Equipment'!A34,Prelims!I:I)))</f>
        <v>0</v>
      </c>
      <c r="D34" s="182" t="e">
        <f t="shared" si="8"/>
        <v>#REF!</v>
      </c>
      <c r="E34" s="183" t="e">
        <f t="shared" si="9"/>
        <v>#REF!</v>
      </c>
      <c r="F34" s="183" t="e">
        <f t="shared" si="10"/>
        <v>#REF!</v>
      </c>
      <c r="H34" s="183" t="e">
        <f t="shared" si="11"/>
        <v>#N/A</v>
      </c>
      <c r="J34" s="183">
        <v>4</v>
      </c>
      <c r="K34" s="184" t="e">
        <f t="shared" si="15"/>
        <v>#N/A</v>
      </c>
      <c r="L34" s="185" t="e">
        <f>IF(K34="","",VLOOKUP(K34,'Database Lab+Equip'!$G:$I,3,FALSE))</f>
        <v>#N/A</v>
      </c>
      <c r="M34" s="185" t="e">
        <f>IF(K34="","",SUMIF('Installation 1'!B:B,'Budget-Labour Equipment'!K34,'Installation 1'!I:I)+SUMIF('Subcontract 2'!B:B,'Budget-Labour Equipment'!K34,'Subcontract 2'!I:I)+SUMIF('Optional-3'!B:B,'Budget-Labour Equipment'!K34,'Optional-3'!I:I)+SUMIF('Mob-Demob'!B:B,'Budget-Labour Equipment'!K34,'Mob-Demob'!I:I))</f>
        <v>#N/A</v>
      </c>
      <c r="N34" s="186" t="e">
        <f>IF(K34="","",RANK(L34,$L$31:$L$135)+COUNTIF($L$31:L34,L34)-1)</f>
        <v>#N/A</v>
      </c>
      <c r="P34" s="183" t="e">
        <f t="shared" si="12"/>
        <v>#N/A</v>
      </c>
      <c r="R34" s="32">
        <v>4</v>
      </c>
      <c r="S34" s="31" t="e">
        <f t="shared" si="13"/>
        <v>#N/A</v>
      </c>
      <c r="T34" s="177" t="e">
        <f>IF(S34="","",VLOOKUP(S34,'Database Lab+Equip'!$G:$I,3,FALSE))</f>
        <v>#N/A</v>
      </c>
      <c r="U34" s="177" t="e">
        <f>IF(S34="","",(SUMIF('Installation 1'!B:B,'Budget-Labour Equipment'!S34,'Installation 1'!I:I)+SUMIF('Subcontract 2'!B:B,'Budget-Labour Equipment'!S34,'Subcontract 2'!I:I)+SUMIF('Optional-3'!B:B,'Budget-Labour Equipment'!S34,'Optional-3'!I:I)+SUMIF('Mob-Demob'!B:B,'Budget-Labour Equipment'!S34,'Mob-Demob'!I:I)+SUMIF(Prelims!B:B,'Budget-Labour Equipment'!S34,Prelims!I:I)))</f>
        <v>#N/A</v>
      </c>
      <c r="V34" s="178" t="e">
        <f t="shared" si="14"/>
        <v>#N/A</v>
      </c>
    </row>
    <row r="35" spans="1:22" x14ac:dyDescent="0.3">
      <c r="A35" s="57" t="e">
        <f>IF('Database Lab+Equip'!#REF!="","Equip. Resource",'Database Lab+Equip'!#REF!)</f>
        <v>#REF!</v>
      </c>
      <c r="B35" s="181" t="e">
        <f>IF(A35="Equip. Resource",0,VLOOKUP(A35,'Database Lab+Equip'!G:I,3,FALSE))</f>
        <v>#REF!</v>
      </c>
      <c r="C35" s="181">
        <f>IF(SUMIF('Installation 1'!B:B,'Budget-Labour Equipment'!A35,'Installation 1'!I:I)+SUMIF('Subcontract 2'!B:B,'Budget-Labour Equipment'!A35,'Subcontract 2'!I:I)+SUMIF('Optional-3'!B:B,'Budget-Labour Equipment'!A35,'Optional-3'!I:I)+SUMIF('Mob-Demob'!B:B,'Budget-Labour Equipment'!A35,'Mob-Demob'!I:I)+SUMIF(Prelims!B:B,'Budget-Labour Equipment'!A35,Prelims!I:I)=0,0,(SUMIF('Installation 1'!B:B,'Budget-Labour Equipment'!A35,'Installation 1'!I:I)+SUMIF('Subcontract 2'!B:B,'Budget-Labour Equipment'!A35,'Subcontract 2'!I:I)+SUMIF('Optional-3'!B:B,'Budget-Labour Equipment'!A35,'Optional-3'!I:I)+SUMIF('Mob-Demob'!B:B,'Budget-Labour Equipment'!A35,'Mob-Demob'!I:I)+SUMIF(Prelims!B:B,'Budget-Labour Equipment'!A35,Prelims!I:I)))</f>
        <v>0</v>
      </c>
      <c r="D35" s="182" t="e">
        <f t="shared" si="8"/>
        <v>#REF!</v>
      </c>
      <c r="E35" s="183" t="e">
        <f t="shared" si="9"/>
        <v>#REF!</v>
      </c>
      <c r="F35" s="183" t="e">
        <f t="shared" si="10"/>
        <v>#REF!</v>
      </c>
      <c r="H35" s="183" t="e">
        <f t="shared" si="11"/>
        <v>#N/A</v>
      </c>
      <c r="J35" s="183">
        <v>5</v>
      </c>
      <c r="K35" s="184" t="e">
        <f t="shared" si="15"/>
        <v>#N/A</v>
      </c>
      <c r="L35" s="185" t="e">
        <f>IF(K35="","",VLOOKUP(K35,'Database Lab+Equip'!$G:$I,3,FALSE))</f>
        <v>#N/A</v>
      </c>
      <c r="M35" s="185" t="e">
        <f>IF(K35="","",SUMIF('Installation 1'!B:B,'Budget-Labour Equipment'!K35,'Installation 1'!I:I)+SUMIF('Subcontract 2'!B:B,'Budget-Labour Equipment'!K35,'Subcontract 2'!I:I)+SUMIF('Optional-3'!B:B,'Budget-Labour Equipment'!K35,'Optional-3'!I:I)+SUMIF('Mob-Demob'!B:B,'Budget-Labour Equipment'!K35,'Mob-Demob'!I:I))</f>
        <v>#N/A</v>
      </c>
      <c r="N35" s="186" t="e">
        <f>IF(K35="","",RANK(L35,$L$31:$L$135)+COUNTIF($L$31:L35,L35)-1)</f>
        <v>#N/A</v>
      </c>
      <c r="P35" s="183" t="e">
        <f t="shared" si="12"/>
        <v>#N/A</v>
      </c>
      <c r="R35" s="32">
        <v>5</v>
      </c>
      <c r="S35" s="31" t="e">
        <f t="shared" si="13"/>
        <v>#N/A</v>
      </c>
      <c r="T35" s="177" t="e">
        <f>IF(S35="","",VLOOKUP(S35,'Database Lab+Equip'!$G:$I,3,FALSE))</f>
        <v>#N/A</v>
      </c>
      <c r="U35" s="177" t="e">
        <f>IF(S35="","",(SUMIF('Installation 1'!B:B,'Budget-Labour Equipment'!S35,'Installation 1'!I:I)+SUMIF('Subcontract 2'!B:B,'Budget-Labour Equipment'!S35,'Subcontract 2'!I:I)+SUMIF('Optional-3'!B:B,'Budget-Labour Equipment'!S35,'Optional-3'!I:I)+SUMIF('Mob-Demob'!B:B,'Budget-Labour Equipment'!S35,'Mob-Demob'!I:I)+SUMIF(Prelims!B:B,'Budget-Labour Equipment'!S35,Prelims!I:I)))</f>
        <v>#N/A</v>
      </c>
      <c r="V35" s="178" t="e">
        <f t="shared" si="14"/>
        <v>#N/A</v>
      </c>
    </row>
    <row r="36" spans="1:22" x14ac:dyDescent="0.3">
      <c r="A36" s="57" t="e">
        <f>IF('Database Lab+Equip'!#REF!="","Equip. Resource",'Database Lab+Equip'!#REF!)</f>
        <v>#REF!</v>
      </c>
      <c r="B36" s="181" t="e">
        <f>IF(A36="Equip. Resource",0,VLOOKUP(A36,'Database Lab+Equip'!G:I,3,FALSE))</f>
        <v>#REF!</v>
      </c>
      <c r="C36" s="181">
        <f>IF(SUMIF('Installation 1'!B:B,'Budget-Labour Equipment'!A36,'Installation 1'!I:I)+SUMIF('Subcontract 2'!B:B,'Budget-Labour Equipment'!A36,'Subcontract 2'!I:I)+SUMIF('Optional-3'!B:B,'Budget-Labour Equipment'!A36,'Optional-3'!I:I)+SUMIF('Mob-Demob'!B:B,'Budget-Labour Equipment'!A36,'Mob-Demob'!I:I)+SUMIF(Prelims!B:B,'Budget-Labour Equipment'!A36,Prelims!I:I)=0,0,(SUMIF('Installation 1'!B:B,'Budget-Labour Equipment'!A36,'Installation 1'!I:I)+SUMIF('Subcontract 2'!B:B,'Budget-Labour Equipment'!A36,'Subcontract 2'!I:I)+SUMIF('Optional-3'!B:B,'Budget-Labour Equipment'!A36,'Optional-3'!I:I)+SUMIF('Mob-Demob'!B:B,'Budget-Labour Equipment'!A36,'Mob-Demob'!I:I)+SUMIF(Prelims!B:B,'Budget-Labour Equipment'!A36,Prelims!I:I)))</f>
        <v>0</v>
      </c>
      <c r="D36" s="182" t="e">
        <f t="shared" si="8"/>
        <v>#REF!</v>
      </c>
      <c r="E36" s="183" t="e">
        <f t="shared" si="9"/>
        <v>#REF!</v>
      </c>
      <c r="F36" s="183" t="e">
        <f t="shared" si="10"/>
        <v>#REF!</v>
      </c>
      <c r="H36" s="183" t="e">
        <f t="shared" si="11"/>
        <v>#N/A</v>
      </c>
      <c r="J36" s="183">
        <v>6</v>
      </c>
      <c r="K36" s="184" t="e">
        <f t="shared" si="15"/>
        <v>#N/A</v>
      </c>
      <c r="L36" s="185" t="e">
        <f>IF(K36="","",VLOOKUP(K36,'Database Lab+Equip'!$G:$I,3,FALSE))</f>
        <v>#N/A</v>
      </c>
      <c r="M36" s="185" t="e">
        <f>IF(K36="","",SUMIF('Installation 1'!B:B,'Budget-Labour Equipment'!K36,'Installation 1'!I:I)+SUMIF('Subcontract 2'!B:B,'Budget-Labour Equipment'!K36,'Subcontract 2'!I:I)+SUMIF('Optional-3'!B:B,'Budget-Labour Equipment'!K36,'Optional-3'!I:I)+SUMIF('Mob-Demob'!B:B,'Budget-Labour Equipment'!K36,'Mob-Demob'!I:I))</f>
        <v>#N/A</v>
      </c>
      <c r="N36" s="186" t="e">
        <f>IF(K36="","",RANK(L36,$L$31:$L$135)+COUNTIF($L$31:L36,L36)-1)</f>
        <v>#N/A</v>
      </c>
      <c r="P36" s="183" t="e">
        <f t="shared" si="12"/>
        <v>#N/A</v>
      </c>
      <c r="R36" s="32">
        <v>6</v>
      </c>
      <c r="S36" s="31" t="e">
        <f t="shared" si="13"/>
        <v>#N/A</v>
      </c>
      <c r="T36" s="177" t="e">
        <f>IF(S36="","",VLOOKUP(S36,'Database Lab+Equip'!$G:$I,3,FALSE))</f>
        <v>#N/A</v>
      </c>
      <c r="U36" s="177" t="e">
        <f>IF(S36="","",(SUMIF('Installation 1'!B:B,'Budget-Labour Equipment'!S36,'Installation 1'!I:I)+SUMIF('Subcontract 2'!B:B,'Budget-Labour Equipment'!S36,'Subcontract 2'!I:I)+SUMIF('Optional-3'!B:B,'Budget-Labour Equipment'!S36,'Optional-3'!I:I)+SUMIF('Mob-Demob'!B:B,'Budget-Labour Equipment'!S36,'Mob-Demob'!I:I)+SUMIF(Prelims!B:B,'Budget-Labour Equipment'!S36,Prelims!I:I)))</f>
        <v>#N/A</v>
      </c>
      <c r="V36" s="178" t="e">
        <f t="shared" si="14"/>
        <v>#N/A</v>
      </c>
    </row>
    <row r="37" spans="1:22" x14ac:dyDescent="0.3">
      <c r="A37" s="57" t="e">
        <f>IF('Database Lab+Equip'!#REF!="","Equip. Resource",'Database Lab+Equip'!#REF!)</f>
        <v>#REF!</v>
      </c>
      <c r="B37" s="181" t="e">
        <f>IF(A37="Equip. Resource",0,VLOOKUP(A37,'Database Lab+Equip'!G:I,3,FALSE))</f>
        <v>#REF!</v>
      </c>
      <c r="C37" s="181">
        <f>IF(SUMIF('Installation 1'!B:B,'Budget-Labour Equipment'!A37,'Installation 1'!I:I)+SUMIF('Subcontract 2'!B:B,'Budget-Labour Equipment'!A37,'Subcontract 2'!I:I)+SUMIF('Optional-3'!B:B,'Budget-Labour Equipment'!A37,'Optional-3'!I:I)+SUMIF('Mob-Demob'!B:B,'Budget-Labour Equipment'!A37,'Mob-Demob'!I:I)+SUMIF(Prelims!B:B,'Budget-Labour Equipment'!A37,Prelims!I:I)=0,0,(SUMIF('Installation 1'!B:B,'Budget-Labour Equipment'!A37,'Installation 1'!I:I)+SUMIF('Subcontract 2'!B:B,'Budget-Labour Equipment'!A37,'Subcontract 2'!I:I)+SUMIF('Optional-3'!B:B,'Budget-Labour Equipment'!A37,'Optional-3'!I:I)+SUMIF('Mob-Demob'!B:B,'Budget-Labour Equipment'!A37,'Mob-Demob'!I:I)+SUMIF(Prelims!B:B,'Budget-Labour Equipment'!A37,Prelims!I:I)))</f>
        <v>0</v>
      </c>
      <c r="D37" s="182" t="e">
        <f t="shared" si="8"/>
        <v>#REF!</v>
      </c>
      <c r="E37" s="183" t="e">
        <f t="shared" si="9"/>
        <v>#REF!</v>
      </c>
      <c r="F37" s="183" t="e">
        <f t="shared" si="10"/>
        <v>#REF!</v>
      </c>
      <c r="H37" s="183" t="e">
        <f t="shared" si="11"/>
        <v>#N/A</v>
      </c>
      <c r="J37" s="183">
        <v>7</v>
      </c>
      <c r="K37" s="184" t="e">
        <f t="shared" si="15"/>
        <v>#N/A</v>
      </c>
      <c r="L37" s="185" t="e">
        <f>IF(K37="","",VLOOKUP(K37,'Database Lab+Equip'!$G:$I,3,FALSE))</f>
        <v>#N/A</v>
      </c>
      <c r="M37" s="185" t="e">
        <f>IF(K37="","",SUMIF('Installation 1'!B:B,'Budget-Labour Equipment'!K37,'Installation 1'!I:I)+SUMIF('Subcontract 2'!B:B,'Budget-Labour Equipment'!K37,'Subcontract 2'!I:I)+SUMIF('Optional-3'!B:B,'Budget-Labour Equipment'!K37,'Optional-3'!I:I)+SUMIF('Mob-Demob'!B:B,'Budget-Labour Equipment'!K37,'Mob-Demob'!I:I))</f>
        <v>#N/A</v>
      </c>
      <c r="N37" s="186" t="e">
        <f>IF(K37="","",RANK(L37,$L$31:$L$135)+COUNTIF($L$31:L37,L37)-1)</f>
        <v>#N/A</v>
      </c>
      <c r="P37" s="183" t="e">
        <f t="shared" si="12"/>
        <v>#N/A</v>
      </c>
      <c r="R37" s="32">
        <v>7</v>
      </c>
      <c r="S37" s="31" t="e">
        <f t="shared" si="13"/>
        <v>#N/A</v>
      </c>
      <c r="T37" s="177" t="e">
        <f>IF(S37="","",VLOOKUP(S37,'Database Lab+Equip'!$G:$I,3,FALSE))</f>
        <v>#N/A</v>
      </c>
      <c r="U37" s="177" t="e">
        <f>IF(S37="","",(SUMIF('Installation 1'!B:B,'Budget-Labour Equipment'!S37,'Installation 1'!I:I)+SUMIF('Subcontract 2'!B:B,'Budget-Labour Equipment'!S37,'Subcontract 2'!I:I)+SUMIF('Optional-3'!B:B,'Budget-Labour Equipment'!S37,'Optional-3'!I:I)+SUMIF('Mob-Demob'!B:B,'Budget-Labour Equipment'!S37,'Mob-Demob'!I:I)+SUMIF(Prelims!B:B,'Budget-Labour Equipment'!S37,Prelims!I:I)))</f>
        <v>#N/A</v>
      </c>
      <c r="V37" s="178" t="e">
        <f t="shared" si="14"/>
        <v>#N/A</v>
      </c>
    </row>
    <row r="38" spans="1:22" x14ac:dyDescent="0.3">
      <c r="A38" s="57" t="e">
        <f>IF('Database Lab+Equip'!#REF!="","Equip. Resource",'Database Lab+Equip'!#REF!)</f>
        <v>#REF!</v>
      </c>
      <c r="B38" s="181" t="e">
        <f>IF(A38="Equip. Resource",0,VLOOKUP(A38,'Database Lab+Equip'!G:I,3,FALSE))</f>
        <v>#REF!</v>
      </c>
      <c r="C38" s="181">
        <f>IF(SUMIF('Installation 1'!B:B,'Budget-Labour Equipment'!A38,'Installation 1'!I:I)+SUMIF('Subcontract 2'!B:B,'Budget-Labour Equipment'!A38,'Subcontract 2'!I:I)+SUMIF('Optional-3'!B:B,'Budget-Labour Equipment'!A38,'Optional-3'!I:I)+SUMIF('Mob-Demob'!B:B,'Budget-Labour Equipment'!A38,'Mob-Demob'!I:I)+SUMIF(Prelims!B:B,'Budget-Labour Equipment'!A38,Prelims!I:I)=0,0,(SUMIF('Installation 1'!B:B,'Budget-Labour Equipment'!A38,'Installation 1'!I:I)+SUMIF('Subcontract 2'!B:B,'Budget-Labour Equipment'!A38,'Subcontract 2'!I:I)+SUMIF('Optional-3'!B:B,'Budget-Labour Equipment'!A38,'Optional-3'!I:I)+SUMIF('Mob-Demob'!B:B,'Budget-Labour Equipment'!A38,'Mob-Demob'!I:I)+SUMIF(Prelims!B:B,'Budget-Labour Equipment'!A38,Prelims!I:I)))</f>
        <v>0</v>
      </c>
      <c r="D38" s="182" t="e">
        <f t="shared" si="8"/>
        <v>#REF!</v>
      </c>
      <c r="E38" s="183" t="e">
        <f t="shared" si="9"/>
        <v>#REF!</v>
      </c>
      <c r="F38" s="183" t="e">
        <f t="shared" si="10"/>
        <v>#REF!</v>
      </c>
      <c r="H38" s="183" t="e">
        <f t="shared" si="11"/>
        <v>#N/A</v>
      </c>
      <c r="J38" s="183">
        <v>8</v>
      </c>
      <c r="K38" s="184" t="e">
        <f t="shared" si="15"/>
        <v>#N/A</v>
      </c>
      <c r="L38" s="185" t="e">
        <f>IF(K38="","",VLOOKUP(K38,'Database Lab+Equip'!$G:$I,3,FALSE))</f>
        <v>#N/A</v>
      </c>
      <c r="M38" s="185" t="e">
        <f>IF(K38="","",SUMIF('Installation 1'!B:B,'Budget-Labour Equipment'!K38,'Installation 1'!I:I)+SUMIF('Subcontract 2'!B:B,'Budget-Labour Equipment'!K38,'Subcontract 2'!I:I)+SUMIF('Optional-3'!B:B,'Budget-Labour Equipment'!K38,'Optional-3'!I:I)+SUMIF('Mob-Demob'!B:B,'Budget-Labour Equipment'!K38,'Mob-Demob'!I:I))</f>
        <v>#N/A</v>
      </c>
      <c r="N38" s="186" t="e">
        <f>IF(K38="","",RANK(L38,$L$31:$L$135)+COUNTIF($L$31:L38,L38)-1)</f>
        <v>#N/A</v>
      </c>
      <c r="P38" s="183" t="e">
        <f t="shared" si="12"/>
        <v>#N/A</v>
      </c>
      <c r="R38" s="32">
        <v>8</v>
      </c>
      <c r="S38" s="31" t="e">
        <f t="shared" si="13"/>
        <v>#N/A</v>
      </c>
      <c r="T38" s="177" t="e">
        <f>IF(S38="","",VLOOKUP(S38,'Database Lab+Equip'!$G:$I,3,FALSE))</f>
        <v>#N/A</v>
      </c>
      <c r="U38" s="177" t="e">
        <f>IF(S38="","",(SUMIF('Installation 1'!B:B,'Budget-Labour Equipment'!S38,'Installation 1'!I:I)+SUMIF('Subcontract 2'!B:B,'Budget-Labour Equipment'!S38,'Subcontract 2'!I:I)+SUMIF('Optional-3'!B:B,'Budget-Labour Equipment'!S38,'Optional-3'!I:I)+SUMIF('Mob-Demob'!B:B,'Budget-Labour Equipment'!S38,'Mob-Demob'!I:I)+SUMIF(Prelims!B:B,'Budget-Labour Equipment'!S38,Prelims!I:I)))</f>
        <v>#N/A</v>
      </c>
      <c r="V38" s="178" t="e">
        <f t="shared" si="14"/>
        <v>#N/A</v>
      </c>
    </row>
    <row r="39" spans="1:22" x14ac:dyDescent="0.3">
      <c r="A39" s="57" t="e">
        <f>IF('Database Lab+Equip'!#REF!="","Equip. Resource",'Database Lab+Equip'!#REF!)</f>
        <v>#REF!</v>
      </c>
      <c r="B39" s="181" t="e">
        <f>IF(A39="Equip. Resource",0,VLOOKUP(A39,'Database Lab+Equip'!G:I,3,FALSE))</f>
        <v>#REF!</v>
      </c>
      <c r="C39" s="181">
        <f>IF(SUMIF('Installation 1'!B:B,'Budget-Labour Equipment'!A39,'Installation 1'!I:I)+SUMIF('Subcontract 2'!B:B,'Budget-Labour Equipment'!A39,'Subcontract 2'!I:I)+SUMIF('Optional-3'!B:B,'Budget-Labour Equipment'!A39,'Optional-3'!I:I)+SUMIF('Mob-Demob'!B:B,'Budget-Labour Equipment'!A39,'Mob-Demob'!I:I)+SUMIF(Prelims!B:B,'Budget-Labour Equipment'!A39,Prelims!I:I)=0,0,(SUMIF('Installation 1'!B:B,'Budget-Labour Equipment'!A39,'Installation 1'!I:I)+SUMIF('Subcontract 2'!B:B,'Budget-Labour Equipment'!A39,'Subcontract 2'!I:I)+SUMIF('Optional-3'!B:B,'Budget-Labour Equipment'!A39,'Optional-3'!I:I)+SUMIF('Mob-Demob'!B:B,'Budget-Labour Equipment'!A39,'Mob-Demob'!I:I)+SUMIF(Prelims!B:B,'Budget-Labour Equipment'!A39,Prelims!I:I)))</f>
        <v>0</v>
      </c>
      <c r="D39" s="182" t="e">
        <f t="shared" si="8"/>
        <v>#REF!</v>
      </c>
      <c r="E39" s="183" t="e">
        <f t="shared" si="9"/>
        <v>#REF!</v>
      </c>
      <c r="F39" s="183" t="e">
        <f t="shared" si="10"/>
        <v>#REF!</v>
      </c>
      <c r="H39" s="183" t="e">
        <f t="shared" si="11"/>
        <v>#N/A</v>
      </c>
      <c r="J39" s="183">
        <v>9</v>
      </c>
      <c r="K39" s="184" t="e">
        <f t="shared" si="15"/>
        <v>#N/A</v>
      </c>
      <c r="L39" s="185" t="e">
        <f>IF(K39="","",VLOOKUP(K39,'Database Lab+Equip'!$G:$I,3,FALSE))</f>
        <v>#N/A</v>
      </c>
      <c r="M39" s="185" t="e">
        <f>IF(K39="","",SUMIF('Installation 1'!B:B,'Budget-Labour Equipment'!K39,'Installation 1'!I:I)+SUMIF('Subcontract 2'!B:B,'Budget-Labour Equipment'!K39,'Subcontract 2'!I:I)+SUMIF('Optional-3'!B:B,'Budget-Labour Equipment'!K39,'Optional-3'!I:I)+SUMIF('Mob-Demob'!B:B,'Budget-Labour Equipment'!K39,'Mob-Demob'!I:I))</f>
        <v>#N/A</v>
      </c>
      <c r="N39" s="186" t="e">
        <f>IF(K39="","",RANK(L39,$L$31:$L$135)+COUNTIF($L$31:L39,L39)-1)</f>
        <v>#N/A</v>
      </c>
      <c r="P39" s="183" t="e">
        <f t="shared" si="12"/>
        <v>#N/A</v>
      </c>
      <c r="R39" s="32">
        <v>9</v>
      </c>
      <c r="S39" s="31" t="e">
        <f t="shared" si="13"/>
        <v>#N/A</v>
      </c>
      <c r="T39" s="177" t="e">
        <f>IF(S39="","",VLOOKUP(S39,'Database Lab+Equip'!$G:$I,3,FALSE))</f>
        <v>#N/A</v>
      </c>
      <c r="U39" s="177" t="e">
        <f>IF(S39="","",(SUMIF('Installation 1'!B:B,'Budget-Labour Equipment'!S39,'Installation 1'!I:I)+SUMIF('Subcontract 2'!B:B,'Budget-Labour Equipment'!S39,'Subcontract 2'!I:I)+SUMIF('Optional-3'!B:B,'Budget-Labour Equipment'!S39,'Optional-3'!I:I)+SUMIF('Mob-Demob'!B:B,'Budget-Labour Equipment'!S39,'Mob-Demob'!I:I)+SUMIF(Prelims!B:B,'Budget-Labour Equipment'!S39,Prelims!I:I)))</f>
        <v>#N/A</v>
      </c>
      <c r="V39" s="178" t="e">
        <f t="shared" si="14"/>
        <v>#N/A</v>
      </c>
    </row>
    <row r="40" spans="1:22" x14ac:dyDescent="0.3">
      <c r="A40" s="57" t="e">
        <f>IF('Database Lab+Equip'!#REF!="","Equip. Resource",'Database Lab+Equip'!#REF!)</f>
        <v>#REF!</v>
      </c>
      <c r="B40" s="181" t="e">
        <f>IF(A40="Equip. Resource",0,VLOOKUP(A40,'Database Lab+Equip'!G:I,3,FALSE))</f>
        <v>#REF!</v>
      </c>
      <c r="C40" s="181">
        <f>IF(SUMIF('Installation 1'!B:B,'Budget-Labour Equipment'!A40,'Installation 1'!I:I)+SUMIF('Subcontract 2'!B:B,'Budget-Labour Equipment'!A40,'Subcontract 2'!I:I)+SUMIF('Optional-3'!B:B,'Budget-Labour Equipment'!A40,'Optional-3'!I:I)+SUMIF('Mob-Demob'!B:B,'Budget-Labour Equipment'!A40,'Mob-Demob'!I:I)+SUMIF(Prelims!B:B,'Budget-Labour Equipment'!A40,Prelims!I:I)=0,0,(SUMIF('Installation 1'!B:B,'Budget-Labour Equipment'!A40,'Installation 1'!I:I)+SUMIF('Subcontract 2'!B:B,'Budget-Labour Equipment'!A40,'Subcontract 2'!I:I)+SUMIF('Optional-3'!B:B,'Budget-Labour Equipment'!A40,'Optional-3'!I:I)+SUMIF('Mob-Demob'!B:B,'Budget-Labour Equipment'!A40,'Mob-Demob'!I:I)+SUMIF(Prelims!B:B,'Budget-Labour Equipment'!A40,Prelims!I:I)))</f>
        <v>0</v>
      </c>
      <c r="D40" s="182" t="e">
        <f t="shared" si="8"/>
        <v>#REF!</v>
      </c>
      <c r="E40" s="183" t="e">
        <f t="shared" si="9"/>
        <v>#REF!</v>
      </c>
      <c r="F40" s="183" t="e">
        <f t="shared" si="10"/>
        <v>#REF!</v>
      </c>
      <c r="H40" s="183" t="e">
        <f t="shared" si="11"/>
        <v>#N/A</v>
      </c>
      <c r="J40" s="183">
        <v>10</v>
      </c>
      <c r="K40" s="184" t="e">
        <f t="shared" si="15"/>
        <v>#N/A</v>
      </c>
      <c r="L40" s="185" t="e">
        <f>IF(K40="","",VLOOKUP(K40,'Database Lab+Equip'!$G:$I,3,FALSE))</f>
        <v>#N/A</v>
      </c>
      <c r="M40" s="185" t="e">
        <f>IF(K40="","",SUMIF('Installation 1'!B:B,'Budget-Labour Equipment'!K40,'Installation 1'!I:I)+SUMIF('Subcontract 2'!B:B,'Budget-Labour Equipment'!K40,'Subcontract 2'!I:I)+SUMIF('Optional-3'!B:B,'Budget-Labour Equipment'!K40,'Optional-3'!I:I)+SUMIF('Mob-Demob'!B:B,'Budget-Labour Equipment'!K40,'Mob-Demob'!I:I))</f>
        <v>#N/A</v>
      </c>
      <c r="N40" s="186" t="e">
        <f>IF(K40="","",RANK(L40,$L$31:$L$135)+COUNTIF($L$31:L40,L40)-1)</f>
        <v>#N/A</v>
      </c>
      <c r="P40" s="183" t="e">
        <f t="shared" si="12"/>
        <v>#N/A</v>
      </c>
      <c r="R40" s="32">
        <v>10</v>
      </c>
      <c r="S40" s="31" t="e">
        <f t="shared" si="13"/>
        <v>#N/A</v>
      </c>
      <c r="T40" s="177" t="e">
        <f>IF(S40="","",VLOOKUP(S40,'Database Lab+Equip'!$G:$I,3,FALSE))</f>
        <v>#N/A</v>
      </c>
      <c r="U40" s="177" t="e">
        <f>IF(S40="","",(SUMIF('Installation 1'!B:B,'Budget-Labour Equipment'!S40,'Installation 1'!I:I)+SUMIF('Subcontract 2'!B:B,'Budget-Labour Equipment'!S40,'Subcontract 2'!I:I)+SUMIF('Optional-3'!B:B,'Budget-Labour Equipment'!S40,'Optional-3'!I:I)+SUMIF('Mob-Demob'!B:B,'Budget-Labour Equipment'!S40,'Mob-Demob'!I:I)+SUMIF(Prelims!B:B,'Budget-Labour Equipment'!S40,Prelims!I:I)))</f>
        <v>#N/A</v>
      </c>
      <c r="V40" s="178" t="e">
        <f t="shared" si="14"/>
        <v>#N/A</v>
      </c>
    </row>
    <row r="41" spans="1:22" x14ac:dyDescent="0.3">
      <c r="A41" s="57" t="e">
        <f>IF('Database Lab+Equip'!#REF!="","Equip. Resource",'Database Lab+Equip'!#REF!)</f>
        <v>#REF!</v>
      </c>
      <c r="B41" s="181" t="e">
        <f>IF(A41="Equip. Resource",0,VLOOKUP(A41,'Database Lab+Equip'!G:I,3,FALSE))</f>
        <v>#REF!</v>
      </c>
      <c r="C41" s="181">
        <f>IF(SUMIF('Installation 1'!B:B,'Budget-Labour Equipment'!A41,'Installation 1'!I:I)+SUMIF('Subcontract 2'!B:B,'Budget-Labour Equipment'!A41,'Subcontract 2'!I:I)+SUMIF('Optional-3'!B:B,'Budget-Labour Equipment'!A41,'Optional-3'!I:I)+SUMIF('Mob-Demob'!B:B,'Budget-Labour Equipment'!A41,'Mob-Demob'!I:I)+SUMIF(Prelims!B:B,'Budget-Labour Equipment'!A41,Prelims!I:I)=0,0,(SUMIF('Installation 1'!B:B,'Budget-Labour Equipment'!A41,'Installation 1'!I:I)+SUMIF('Subcontract 2'!B:B,'Budget-Labour Equipment'!A41,'Subcontract 2'!I:I)+SUMIF('Optional-3'!B:B,'Budget-Labour Equipment'!A41,'Optional-3'!I:I)+SUMIF('Mob-Demob'!B:B,'Budget-Labour Equipment'!A41,'Mob-Demob'!I:I)+SUMIF(Prelims!B:B,'Budget-Labour Equipment'!A41,Prelims!I:I)))</f>
        <v>0</v>
      </c>
      <c r="D41" s="182" t="e">
        <f t="shared" si="8"/>
        <v>#REF!</v>
      </c>
      <c r="E41" s="183" t="e">
        <f t="shared" si="9"/>
        <v>#REF!</v>
      </c>
      <c r="F41" s="183" t="e">
        <f t="shared" si="10"/>
        <v>#REF!</v>
      </c>
      <c r="H41" s="183" t="e">
        <f t="shared" si="11"/>
        <v>#N/A</v>
      </c>
      <c r="J41" s="183">
        <v>11</v>
      </c>
      <c r="K41" s="184" t="e">
        <f t="shared" si="15"/>
        <v>#N/A</v>
      </c>
      <c r="L41" s="185" t="e">
        <f>IF(K41="","",VLOOKUP(K41,'Database Lab+Equip'!$G:$I,3,FALSE))</f>
        <v>#N/A</v>
      </c>
      <c r="M41" s="185" t="e">
        <f>IF(K41="","",SUMIF('Installation 1'!B:B,'Budget-Labour Equipment'!K41,'Installation 1'!I:I)+SUMIF('Subcontract 2'!B:B,'Budget-Labour Equipment'!K41,'Subcontract 2'!I:I)+SUMIF('Optional-3'!B:B,'Budget-Labour Equipment'!K41,'Optional-3'!I:I)+SUMIF('Mob-Demob'!B:B,'Budget-Labour Equipment'!K41,'Mob-Demob'!I:I))</f>
        <v>#N/A</v>
      </c>
      <c r="N41" s="186" t="e">
        <f>IF(K41="","",RANK(L41,$L$31:$L$135)+COUNTIF($L$31:L41,L41)-1)</f>
        <v>#N/A</v>
      </c>
      <c r="P41" s="183" t="e">
        <f t="shared" si="12"/>
        <v>#N/A</v>
      </c>
      <c r="R41" s="32">
        <v>11</v>
      </c>
      <c r="S41" s="31" t="e">
        <f t="shared" si="13"/>
        <v>#N/A</v>
      </c>
      <c r="T41" s="177" t="e">
        <f>IF(S41="","",VLOOKUP(S41,'Database Lab+Equip'!$G:$I,3,FALSE))</f>
        <v>#N/A</v>
      </c>
      <c r="U41" s="177" t="e">
        <f>IF(S41="","",(SUMIF('Installation 1'!B:B,'Budget-Labour Equipment'!S41,'Installation 1'!I:I)+SUMIF('Subcontract 2'!B:B,'Budget-Labour Equipment'!S41,'Subcontract 2'!I:I)+SUMIF('Optional-3'!B:B,'Budget-Labour Equipment'!S41,'Optional-3'!I:I)+SUMIF('Mob-Demob'!B:B,'Budget-Labour Equipment'!S41,'Mob-Demob'!I:I)+SUMIF(Prelims!B:B,'Budget-Labour Equipment'!S41,Prelims!I:I)))</f>
        <v>#N/A</v>
      </c>
      <c r="V41" s="178" t="e">
        <f t="shared" si="14"/>
        <v>#N/A</v>
      </c>
    </row>
    <row r="42" spans="1:22" x14ac:dyDescent="0.3">
      <c r="A42" s="57" t="e">
        <f>IF('Database Lab+Equip'!#REF!="","Equip. Resource",'Database Lab+Equip'!#REF!)</f>
        <v>#REF!</v>
      </c>
      <c r="B42" s="181" t="e">
        <f>IF(A42="Equip. Resource",0,VLOOKUP(A42,'Database Lab+Equip'!G:I,3,FALSE))</f>
        <v>#REF!</v>
      </c>
      <c r="C42" s="181">
        <f>IF(SUMIF('Installation 1'!B:B,'Budget-Labour Equipment'!A42,'Installation 1'!I:I)+SUMIF('Subcontract 2'!B:B,'Budget-Labour Equipment'!A42,'Subcontract 2'!I:I)+SUMIF('Optional-3'!B:B,'Budget-Labour Equipment'!A42,'Optional-3'!I:I)+SUMIF('Mob-Demob'!B:B,'Budget-Labour Equipment'!A42,'Mob-Demob'!I:I)+SUMIF(Prelims!B:B,'Budget-Labour Equipment'!A42,Prelims!I:I)=0,0,(SUMIF('Installation 1'!B:B,'Budget-Labour Equipment'!A42,'Installation 1'!I:I)+SUMIF('Subcontract 2'!B:B,'Budget-Labour Equipment'!A42,'Subcontract 2'!I:I)+SUMIF('Optional-3'!B:B,'Budget-Labour Equipment'!A42,'Optional-3'!I:I)+SUMIF('Mob-Demob'!B:B,'Budget-Labour Equipment'!A42,'Mob-Demob'!I:I)+SUMIF(Prelims!B:B,'Budget-Labour Equipment'!A42,Prelims!I:I)))</f>
        <v>0</v>
      </c>
      <c r="D42" s="182" t="e">
        <f t="shared" si="8"/>
        <v>#REF!</v>
      </c>
      <c r="E42" s="183" t="e">
        <f t="shared" si="9"/>
        <v>#REF!</v>
      </c>
      <c r="F42" s="183" t="e">
        <f t="shared" si="10"/>
        <v>#REF!</v>
      </c>
      <c r="H42" s="183" t="e">
        <f t="shared" si="11"/>
        <v>#N/A</v>
      </c>
      <c r="J42" s="183">
        <v>12</v>
      </c>
      <c r="K42" s="184" t="e">
        <f t="shared" si="15"/>
        <v>#N/A</v>
      </c>
      <c r="L42" s="185" t="e">
        <f>IF(K42="","",VLOOKUP(K42,'Database Lab+Equip'!$G:$I,3,FALSE))</f>
        <v>#N/A</v>
      </c>
      <c r="M42" s="185" t="e">
        <f>IF(K42="","",SUMIF('Installation 1'!B:B,'Budget-Labour Equipment'!K42,'Installation 1'!I:I)+SUMIF('Subcontract 2'!B:B,'Budget-Labour Equipment'!K42,'Subcontract 2'!I:I)+SUMIF('Optional-3'!B:B,'Budget-Labour Equipment'!K42,'Optional-3'!I:I)+SUMIF('Mob-Demob'!B:B,'Budget-Labour Equipment'!K42,'Mob-Demob'!I:I))</f>
        <v>#N/A</v>
      </c>
      <c r="N42" s="186" t="e">
        <f>IF(K42="","",RANK(L42,$L$31:$L$135)+COUNTIF($L$31:L42,L42)-1)</f>
        <v>#N/A</v>
      </c>
      <c r="P42" s="183" t="e">
        <f t="shared" si="12"/>
        <v>#N/A</v>
      </c>
      <c r="R42" s="32">
        <v>12</v>
      </c>
      <c r="S42" s="31" t="e">
        <f t="shared" si="13"/>
        <v>#N/A</v>
      </c>
      <c r="T42" s="177" t="e">
        <f>IF(S42="","",VLOOKUP(S42,'Database Lab+Equip'!$G:$I,3,FALSE))</f>
        <v>#N/A</v>
      </c>
      <c r="U42" s="177" t="e">
        <f>IF(S42="","",(SUMIF('Installation 1'!B:B,'Budget-Labour Equipment'!S42,'Installation 1'!I:I)+SUMIF('Subcontract 2'!B:B,'Budget-Labour Equipment'!S42,'Subcontract 2'!I:I)+SUMIF('Optional-3'!B:B,'Budget-Labour Equipment'!S42,'Optional-3'!I:I)+SUMIF('Mob-Demob'!B:B,'Budget-Labour Equipment'!S42,'Mob-Demob'!I:I)+SUMIF(Prelims!B:B,'Budget-Labour Equipment'!S42,Prelims!I:I)))</f>
        <v>#N/A</v>
      </c>
      <c r="V42" s="178" t="e">
        <f t="shared" si="14"/>
        <v>#N/A</v>
      </c>
    </row>
    <row r="43" spans="1:22" x14ac:dyDescent="0.3">
      <c r="A43" s="57" t="e">
        <f>IF('Database Lab+Equip'!#REF!="","Equip. Resource",'Database Lab+Equip'!#REF!)</f>
        <v>#REF!</v>
      </c>
      <c r="B43" s="181" t="e">
        <f>IF(A43="Equip. Resource",0,VLOOKUP(A43,'Database Lab+Equip'!G:I,3,FALSE))</f>
        <v>#REF!</v>
      </c>
      <c r="C43" s="181">
        <f>IF(SUMIF('Installation 1'!B:B,'Budget-Labour Equipment'!A43,'Installation 1'!I:I)+SUMIF('Subcontract 2'!B:B,'Budget-Labour Equipment'!A43,'Subcontract 2'!I:I)+SUMIF('Optional-3'!B:B,'Budget-Labour Equipment'!A43,'Optional-3'!I:I)+SUMIF('Mob-Demob'!B:B,'Budget-Labour Equipment'!A43,'Mob-Demob'!I:I)+SUMIF(Prelims!B:B,'Budget-Labour Equipment'!A43,Prelims!I:I)=0,0,(SUMIF('Installation 1'!B:B,'Budget-Labour Equipment'!A43,'Installation 1'!I:I)+SUMIF('Subcontract 2'!B:B,'Budget-Labour Equipment'!A43,'Subcontract 2'!I:I)+SUMIF('Optional-3'!B:B,'Budget-Labour Equipment'!A43,'Optional-3'!I:I)+SUMIF('Mob-Demob'!B:B,'Budget-Labour Equipment'!A43,'Mob-Demob'!I:I)+SUMIF(Prelims!B:B,'Budget-Labour Equipment'!A43,Prelims!I:I)))</f>
        <v>0</v>
      </c>
      <c r="D43" s="182" t="e">
        <f t="shared" si="8"/>
        <v>#REF!</v>
      </c>
      <c r="E43" s="183" t="e">
        <f t="shared" si="9"/>
        <v>#REF!</v>
      </c>
      <c r="F43" s="183" t="e">
        <f t="shared" si="10"/>
        <v>#REF!</v>
      </c>
      <c r="H43" s="183" t="e">
        <f t="shared" si="11"/>
        <v>#N/A</v>
      </c>
      <c r="J43" s="183">
        <v>13</v>
      </c>
      <c r="K43" s="184" t="e">
        <f t="shared" si="15"/>
        <v>#N/A</v>
      </c>
      <c r="L43" s="185" t="e">
        <f>IF(K43="","",VLOOKUP(K43,'Database Lab+Equip'!$G:$I,3,FALSE))</f>
        <v>#N/A</v>
      </c>
      <c r="M43" s="185" t="e">
        <f>IF(K43="","",SUMIF('Installation 1'!B:B,'Budget-Labour Equipment'!K43,'Installation 1'!I:I)+SUMIF('Subcontract 2'!B:B,'Budget-Labour Equipment'!K43,'Subcontract 2'!I:I)+SUMIF('Optional-3'!B:B,'Budget-Labour Equipment'!K43,'Optional-3'!I:I)+SUMIF('Mob-Demob'!B:B,'Budget-Labour Equipment'!K43,'Mob-Demob'!I:I))</f>
        <v>#N/A</v>
      </c>
      <c r="N43" s="186" t="e">
        <f>IF(K43="","",RANK(L43,$L$31:$L$135)+COUNTIF($L$31:L43,L43)-1)</f>
        <v>#N/A</v>
      </c>
      <c r="P43" s="183" t="e">
        <f t="shared" si="12"/>
        <v>#N/A</v>
      </c>
      <c r="R43" s="32">
        <v>13</v>
      </c>
      <c r="S43" s="31" t="e">
        <f t="shared" si="13"/>
        <v>#N/A</v>
      </c>
      <c r="T43" s="177" t="e">
        <f>IF(S43="","",VLOOKUP(S43,'Database Lab+Equip'!$G:$I,3,FALSE))</f>
        <v>#N/A</v>
      </c>
      <c r="U43" s="177" t="e">
        <f>IF(S43="","",(SUMIF('Installation 1'!B:B,'Budget-Labour Equipment'!S43,'Installation 1'!I:I)+SUMIF('Subcontract 2'!B:B,'Budget-Labour Equipment'!S43,'Subcontract 2'!I:I)+SUMIF('Optional-3'!B:B,'Budget-Labour Equipment'!S43,'Optional-3'!I:I)+SUMIF('Mob-Demob'!B:B,'Budget-Labour Equipment'!S43,'Mob-Demob'!I:I)+SUMIF(Prelims!B:B,'Budget-Labour Equipment'!S43,Prelims!I:I)))</f>
        <v>#N/A</v>
      </c>
      <c r="V43" s="178" t="e">
        <f t="shared" si="14"/>
        <v>#N/A</v>
      </c>
    </row>
    <row r="44" spans="1:22" x14ac:dyDescent="0.3">
      <c r="A44" s="57" t="e">
        <f>IF('Database Lab+Equip'!#REF!="","Equip. Resource",'Database Lab+Equip'!#REF!)</f>
        <v>#REF!</v>
      </c>
      <c r="B44" s="181" t="e">
        <f>IF(A44="Equip. Resource",0,VLOOKUP(A44,'Database Lab+Equip'!G:I,3,FALSE))</f>
        <v>#REF!</v>
      </c>
      <c r="C44" s="181">
        <f>IF(SUMIF('Installation 1'!B:B,'Budget-Labour Equipment'!A44,'Installation 1'!I:I)+SUMIF('Subcontract 2'!B:B,'Budget-Labour Equipment'!A44,'Subcontract 2'!I:I)+SUMIF('Optional-3'!B:B,'Budget-Labour Equipment'!A44,'Optional-3'!I:I)+SUMIF('Mob-Demob'!B:B,'Budget-Labour Equipment'!A44,'Mob-Demob'!I:I)+SUMIF(Prelims!B:B,'Budget-Labour Equipment'!A44,Prelims!I:I)=0,0,(SUMIF('Installation 1'!B:B,'Budget-Labour Equipment'!A44,'Installation 1'!I:I)+SUMIF('Subcontract 2'!B:B,'Budget-Labour Equipment'!A44,'Subcontract 2'!I:I)+SUMIF('Optional-3'!B:B,'Budget-Labour Equipment'!A44,'Optional-3'!I:I)+SUMIF('Mob-Demob'!B:B,'Budget-Labour Equipment'!A44,'Mob-Demob'!I:I)+SUMIF(Prelims!B:B,'Budget-Labour Equipment'!A44,Prelims!I:I)))</f>
        <v>0</v>
      </c>
      <c r="D44" s="182" t="e">
        <f t="shared" si="8"/>
        <v>#REF!</v>
      </c>
      <c r="E44" s="183" t="e">
        <f t="shared" si="9"/>
        <v>#REF!</v>
      </c>
      <c r="F44" s="183" t="e">
        <f t="shared" si="10"/>
        <v>#REF!</v>
      </c>
      <c r="H44" s="183" t="e">
        <f t="shared" si="11"/>
        <v>#N/A</v>
      </c>
      <c r="J44" s="183">
        <v>14</v>
      </c>
      <c r="K44" s="184" t="e">
        <f t="shared" si="15"/>
        <v>#N/A</v>
      </c>
      <c r="L44" s="185" t="e">
        <f>IF(K44="","",VLOOKUP(K44,'Database Lab+Equip'!$G:$I,3,FALSE))</f>
        <v>#N/A</v>
      </c>
      <c r="M44" s="185" t="e">
        <f>IF(K44="","",SUMIF('Installation 1'!B:B,'Budget-Labour Equipment'!K44,'Installation 1'!I:I)+SUMIF('Subcontract 2'!B:B,'Budget-Labour Equipment'!K44,'Subcontract 2'!I:I)+SUMIF('Optional-3'!B:B,'Budget-Labour Equipment'!K44,'Optional-3'!I:I)+SUMIF('Mob-Demob'!B:B,'Budget-Labour Equipment'!K44,'Mob-Demob'!I:I))</f>
        <v>#N/A</v>
      </c>
      <c r="N44" s="186" t="e">
        <f>IF(K44="","",RANK(L44,$L$31:$L$135)+COUNTIF($L$31:L44,L44)-1)</f>
        <v>#N/A</v>
      </c>
      <c r="P44" s="183" t="e">
        <f t="shared" si="12"/>
        <v>#N/A</v>
      </c>
      <c r="R44" s="32">
        <v>14</v>
      </c>
      <c r="S44" s="31" t="e">
        <f t="shared" si="13"/>
        <v>#N/A</v>
      </c>
      <c r="T44" s="177" t="e">
        <f>IF(S44="","",VLOOKUP(S44,'Database Lab+Equip'!$G:$I,3,FALSE))</f>
        <v>#N/A</v>
      </c>
      <c r="U44" s="177" t="e">
        <f>IF(S44="","",(SUMIF('Installation 1'!B:B,'Budget-Labour Equipment'!S44,'Installation 1'!I:I)+SUMIF('Subcontract 2'!B:B,'Budget-Labour Equipment'!S44,'Subcontract 2'!I:I)+SUMIF('Optional-3'!B:B,'Budget-Labour Equipment'!S44,'Optional-3'!I:I)+SUMIF('Mob-Demob'!B:B,'Budget-Labour Equipment'!S44,'Mob-Demob'!I:I)+SUMIF(Prelims!B:B,'Budget-Labour Equipment'!S44,Prelims!I:I)))</f>
        <v>#N/A</v>
      </c>
      <c r="V44" s="178" t="e">
        <f t="shared" si="14"/>
        <v>#N/A</v>
      </c>
    </row>
    <row r="45" spans="1:22" x14ac:dyDescent="0.3">
      <c r="A45" s="57" t="e">
        <f>IF('Database Lab+Equip'!#REF!="","Equip. Resource",'Database Lab+Equip'!#REF!)</f>
        <v>#REF!</v>
      </c>
      <c r="B45" s="181" t="e">
        <f>IF(A45="Equip. Resource",0,VLOOKUP(A45,'Database Lab+Equip'!G:I,3,FALSE))</f>
        <v>#REF!</v>
      </c>
      <c r="C45" s="181">
        <f>IF(SUMIF('Installation 1'!B:B,'Budget-Labour Equipment'!A45,'Installation 1'!I:I)+SUMIF('Subcontract 2'!B:B,'Budget-Labour Equipment'!A45,'Subcontract 2'!I:I)+SUMIF('Optional-3'!B:B,'Budget-Labour Equipment'!A45,'Optional-3'!I:I)+SUMIF('Mob-Demob'!B:B,'Budget-Labour Equipment'!A45,'Mob-Demob'!I:I)+SUMIF(Prelims!B:B,'Budget-Labour Equipment'!A45,Prelims!I:I)=0,0,(SUMIF('Installation 1'!B:B,'Budget-Labour Equipment'!A45,'Installation 1'!I:I)+SUMIF('Subcontract 2'!B:B,'Budget-Labour Equipment'!A45,'Subcontract 2'!I:I)+SUMIF('Optional-3'!B:B,'Budget-Labour Equipment'!A45,'Optional-3'!I:I)+SUMIF('Mob-Demob'!B:B,'Budget-Labour Equipment'!A45,'Mob-Demob'!I:I)+SUMIF(Prelims!B:B,'Budget-Labour Equipment'!A45,Prelims!I:I)))</f>
        <v>0</v>
      </c>
      <c r="D45" s="182" t="e">
        <f t="shared" si="8"/>
        <v>#REF!</v>
      </c>
      <c r="E45" s="183" t="e">
        <f t="shared" si="9"/>
        <v>#REF!</v>
      </c>
      <c r="F45" s="183" t="e">
        <f t="shared" si="10"/>
        <v>#REF!</v>
      </c>
      <c r="H45" s="183" t="e">
        <f t="shared" si="11"/>
        <v>#N/A</v>
      </c>
      <c r="J45" s="183">
        <v>15</v>
      </c>
      <c r="K45" s="184" t="e">
        <f t="shared" si="15"/>
        <v>#N/A</v>
      </c>
      <c r="L45" s="185" t="e">
        <f>IF(K45="","",VLOOKUP(K45,'Database Lab+Equip'!$G:$I,3,FALSE))</f>
        <v>#N/A</v>
      </c>
      <c r="M45" s="185" t="e">
        <f>IF(K45="","",SUMIF('Installation 1'!B:B,'Budget-Labour Equipment'!K45,'Installation 1'!I:I)+SUMIF('Subcontract 2'!B:B,'Budget-Labour Equipment'!K45,'Subcontract 2'!I:I)+SUMIF('Optional-3'!B:B,'Budget-Labour Equipment'!K45,'Optional-3'!I:I)+SUMIF('Mob-Demob'!B:B,'Budget-Labour Equipment'!K45,'Mob-Demob'!I:I))</f>
        <v>#N/A</v>
      </c>
      <c r="N45" s="186" t="e">
        <f>IF(K45="","",RANK(L45,$L$31:$L$135)+COUNTIF($L$31:L45,L45)-1)</f>
        <v>#N/A</v>
      </c>
      <c r="P45" s="183" t="e">
        <f t="shared" si="12"/>
        <v>#N/A</v>
      </c>
      <c r="R45" s="32">
        <v>15</v>
      </c>
      <c r="S45" s="31" t="e">
        <f t="shared" si="13"/>
        <v>#N/A</v>
      </c>
      <c r="T45" s="177" t="e">
        <f>IF(S45="","",VLOOKUP(S45,'Database Lab+Equip'!$G:$I,3,FALSE))</f>
        <v>#N/A</v>
      </c>
      <c r="U45" s="177" t="e">
        <f>IF(S45="","",(SUMIF('Installation 1'!B:B,'Budget-Labour Equipment'!S45,'Installation 1'!I:I)+SUMIF('Subcontract 2'!B:B,'Budget-Labour Equipment'!S45,'Subcontract 2'!I:I)+SUMIF('Optional-3'!B:B,'Budget-Labour Equipment'!S45,'Optional-3'!I:I)+SUMIF('Mob-Demob'!B:B,'Budget-Labour Equipment'!S45,'Mob-Demob'!I:I)+SUMIF(Prelims!B:B,'Budget-Labour Equipment'!S45,Prelims!I:I)))</f>
        <v>#N/A</v>
      </c>
      <c r="V45" s="178" t="e">
        <f t="shared" si="14"/>
        <v>#N/A</v>
      </c>
    </row>
    <row r="46" spans="1:22" x14ac:dyDescent="0.3">
      <c r="A46" s="57" t="e">
        <f>IF('Database Lab+Equip'!#REF!="","Equip. Resource",'Database Lab+Equip'!#REF!)</f>
        <v>#REF!</v>
      </c>
      <c r="B46" s="181" t="e">
        <f>IF(A46="Equip. Resource",0,VLOOKUP(A46,'Database Lab+Equip'!G:I,3,FALSE))</f>
        <v>#REF!</v>
      </c>
      <c r="C46" s="181">
        <f>IF(SUMIF('Installation 1'!B:B,'Budget-Labour Equipment'!A46,'Installation 1'!I:I)+SUMIF('Subcontract 2'!B:B,'Budget-Labour Equipment'!A46,'Subcontract 2'!I:I)+SUMIF('Optional-3'!B:B,'Budget-Labour Equipment'!A46,'Optional-3'!I:I)+SUMIF('Mob-Demob'!B:B,'Budget-Labour Equipment'!A46,'Mob-Demob'!I:I)+SUMIF(Prelims!B:B,'Budget-Labour Equipment'!A46,Prelims!I:I)=0,0,(SUMIF('Installation 1'!B:B,'Budget-Labour Equipment'!A46,'Installation 1'!I:I)+SUMIF('Subcontract 2'!B:B,'Budget-Labour Equipment'!A46,'Subcontract 2'!I:I)+SUMIF('Optional-3'!B:B,'Budget-Labour Equipment'!A46,'Optional-3'!I:I)+SUMIF('Mob-Demob'!B:B,'Budget-Labour Equipment'!A46,'Mob-Demob'!I:I)+SUMIF(Prelims!B:B,'Budget-Labour Equipment'!A46,Prelims!I:I)))</f>
        <v>0</v>
      </c>
      <c r="D46" s="182" t="e">
        <f t="shared" si="8"/>
        <v>#REF!</v>
      </c>
      <c r="E46" s="183" t="e">
        <f t="shared" si="9"/>
        <v>#REF!</v>
      </c>
      <c r="F46" s="183" t="e">
        <f t="shared" si="10"/>
        <v>#REF!</v>
      </c>
      <c r="H46" s="183" t="e">
        <f t="shared" si="11"/>
        <v>#N/A</v>
      </c>
      <c r="J46" s="183">
        <v>16</v>
      </c>
      <c r="K46" s="184" t="e">
        <f t="shared" si="15"/>
        <v>#N/A</v>
      </c>
      <c r="L46" s="185" t="e">
        <f>IF(K46="","",VLOOKUP(K46,'Database Lab+Equip'!$G:$I,3,FALSE))</f>
        <v>#N/A</v>
      </c>
      <c r="M46" s="185" t="e">
        <f>IF(K46="","",SUMIF('Installation 1'!B:B,'Budget-Labour Equipment'!K46,'Installation 1'!I:I)+SUMIF('Subcontract 2'!B:B,'Budget-Labour Equipment'!K46,'Subcontract 2'!I:I)+SUMIF('Optional-3'!B:B,'Budget-Labour Equipment'!K46,'Optional-3'!I:I)+SUMIF('Mob-Demob'!B:B,'Budget-Labour Equipment'!K46,'Mob-Demob'!I:I))</f>
        <v>#N/A</v>
      </c>
      <c r="N46" s="186" t="e">
        <f>IF(K46="","",RANK(L46,$L$31:$L$135)+COUNTIF($L$31:L46,L46)-1)</f>
        <v>#N/A</v>
      </c>
      <c r="P46" s="183" t="e">
        <f t="shared" si="12"/>
        <v>#N/A</v>
      </c>
      <c r="R46" s="32">
        <v>16</v>
      </c>
      <c r="S46" s="31" t="e">
        <f t="shared" si="13"/>
        <v>#N/A</v>
      </c>
      <c r="T46" s="177" t="e">
        <f>IF(S46="","",VLOOKUP(S46,'Database Lab+Equip'!$G:$I,3,FALSE))</f>
        <v>#N/A</v>
      </c>
      <c r="U46" s="177" t="e">
        <f>IF(S46="","",(SUMIF('Installation 1'!B:B,'Budget-Labour Equipment'!S46,'Installation 1'!I:I)+SUMIF('Subcontract 2'!B:B,'Budget-Labour Equipment'!S46,'Subcontract 2'!I:I)+SUMIF('Optional-3'!B:B,'Budget-Labour Equipment'!S46,'Optional-3'!I:I)+SUMIF('Mob-Demob'!B:B,'Budget-Labour Equipment'!S46,'Mob-Demob'!I:I)+SUMIF(Prelims!B:B,'Budget-Labour Equipment'!S46,Prelims!I:I)))</f>
        <v>#N/A</v>
      </c>
      <c r="V46" s="178" t="e">
        <f t="shared" si="14"/>
        <v>#N/A</v>
      </c>
    </row>
    <row r="47" spans="1:22" x14ac:dyDescent="0.3">
      <c r="A47" s="57" t="e">
        <f>IF('Database Lab+Equip'!#REF!="","Equip. Resource",'Database Lab+Equip'!#REF!)</f>
        <v>#REF!</v>
      </c>
      <c r="B47" s="181" t="e">
        <f>IF(A47="Equip. Resource",0,VLOOKUP(A47,'Database Lab+Equip'!G:I,3,FALSE))</f>
        <v>#REF!</v>
      </c>
      <c r="C47" s="181">
        <f>IF(SUMIF('Installation 1'!B:B,'Budget-Labour Equipment'!A47,'Installation 1'!I:I)+SUMIF('Subcontract 2'!B:B,'Budget-Labour Equipment'!A47,'Subcontract 2'!I:I)+SUMIF('Optional-3'!B:B,'Budget-Labour Equipment'!A47,'Optional-3'!I:I)+SUMIF('Mob-Demob'!B:B,'Budget-Labour Equipment'!A47,'Mob-Demob'!I:I)+SUMIF(Prelims!B:B,'Budget-Labour Equipment'!A47,Prelims!I:I)=0,0,(SUMIF('Installation 1'!B:B,'Budget-Labour Equipment'!A47,'Installation 1'!I:I)+SUMIF('Subcontract 2'!B:B,'Budget-Labour Equipment'!A47,'Subcontract 2'!I:I)+SUMIF('Optional-3'!B:B,'Budget-Labour Equipment'!A47,'Optional-3'!I:I)+SUMIF('Mob-Demob'!B:B,'Budget-Labour Equipment'!A47,'Mob-Demob'!I:I)+SUMIF(Prelims!B:B,'Budget-Labour Equipment'!A47,Prelims!I:I)))</f>
        <v>0</v>
      </c>
      <c r="D47" s="182" t="e">
        <f t="shared" si="8"/>
        <v>#REF!</v>
      </c>
      <c r="E47" s="183" t="e">
        <f t="shared" si="9"/>
        <v>#REF!</v>
      </c>
      <c r="F47" s="183" t="e">
        <f t="shared" si="10"/>
        <v>#REF!</v>
      </c>
      <c r="H47" s="183" t="e">
        <f t="shared" si="11"/>
        <v>#N/A</v>
      </c>
      <c r="J47" s="183">
        <v>17</v>
      </c>
      <c r="K47" s="184" t="e">
        <f t="shared" si="15"/>
        <v>#N/A</v>
      </c>
      <c r="L47" s="185" t="e">
        <f>IF(K47="","",VLOOKUP(K47,'Database Lab+Equip'!$G:$I,3,FALSE))</f>
        <v>#N/A</v>
      </c>
      <c r="M47" s="185" t="e">
        <f>IF(K47="","",SUMIF('Installation 1'!B:B,'Budget-Labour Equipment'!K47,'Installation 1'!I:I)+SUMIF('Subcontract 2'!B:B,'Budget-Labour Equipment'!K47,'Subcontract 2'!I:I)+SUMIF('Optional-3'!B:B,'Budget-Labour Equipment'!K47,'Optional-3'!I:I)+SUMIF('Mob-Demob'!B:B,'Budget-Labour Equipment'!K47,'Mob-Demob'!I:I))</f>
        <v>#N/A</v>
      </c>
      <c r="N47" s="186" t="e">
        <f>IF(K47="","",RANK(L47,$L$31:$L$135)+COUNTIF($L$31:L47,L47)-1)</f>
        <v>#N/A</v>
      </c>
      <c r="P47" s="183" t="e">
        <f t="shared" si="12"/>
        <v>#N/A</v>
      </c>
      <c r="R47" s="32">
        <v>17</v>
      </c>
      <c r="S47" s="31" t="e">
        <f t="shared" si="13"/>
        <v>#N/A</v>
      </c>
      <c r="T47" s="177" t="e">
        <f>IF(S47="","",VLOOKUP(S47,'Database Lab+Equip'!$G:$I,3,FALSE))</f>
        <v>#N/A</v>
      </c>
      <c r="U47" s="177" t="e">
        <f>IF(S47="","",(SUMIF('Installation 1'!B:B,'Budget-Labour Equipment'!S47,'Installation 1'!I:I)+SUMIF('Subcontract 2'!B:B,'Budget-Labour Equipment'!S47,'Subcontract 2'!I:I)+SUMIF('Optional-3'!B:B,'Budget-Labour Equipment'!S47,'Optional-3'!I:I)+SUMIF('Mob-Demob'!B:B,'Budget-Labour Equipment'!S47,'Mob-Demob'!I:I)+SUMIF(Prelims!B:B,'Budget-Labour Equipment'!S47,Prelims!I:I)))</f>
        <v>#N/A</v>
      </c>
      <c r="V47" s="178" t="e">
        <f t="shared" si="14"/>
        <v>#N/A</v>
      </c>
    </row>
    <row r="48" spans="1:22" x14ac:dyDescent="0.3">
      <c r="A48" s="57" t="e">
        <f>IF('Database Lab+Equip'!#REF!="","Equip. Resource",'Database Lab+Equip'!#REF!)</f>
        <v>#REF!</v>
      </c>
      <c r="B48" s="181" t="e">
        <f>IF(A48="Equip. Resource",0,VLOOKUP(A48,'Database Lab+Equip'!G:I,3,FALSE))</f>
        <v>#REF!</v>
      </c>
      <c r="C48" s="181">
        <f>IF(SUMIF('Installation 1'!B:B,'Budget-Labour Equipment'!A48,'Installation 1'!I:I)+SUMIF('Subcontract 2'!B:B,'Budget-Labour Equipment'!A48,'Subcontract 2'!I:I)+SUMIF('Optional-3'!B:B,'Budget-Labour Equipment'!A48,'Optional-3'!I:I)+SUMIF('Mob-Demob'!B:B,'Budget-Labour Equipment'!A48,'Mob-Demob'!I:I)+SUMIF(Prelims!B:B,'Budget-Labour Equipment'!A48,Prelims!I:I)=0,0,(SUMIF('Installation 1'!B:B,'Budget-Labour Equipment'!A48,'Installation 1'!I:I)+SUMIF('Subcontract 2'!B:B,'Budget-Labour Equipment'!A48,'Subcontract 2'!I:I)+SUMIF('Optional-3'!B:B,'Budget-Labour Equipment'!A48,'Optional-3'!I:I)+SUMIF('Mob-Demob'!B:B,'Budget-Labour Equipment'!A48,'Mob-Demob'!I:I)+SUMIF(Prelims!B:B,'Budget-Labour Equipment'!A48,Prelims!I:I)))</f>
        <v>0</v>
      </c>
      <c r="D48" s="182" t="e">
        <f t="shared" si="8"/>
        <v>#REF!</v>
      </c>
      <c r="E48" s="183" t="e">
        <f t="shared" si="9"/>
        <v>#REF!</v>
      </c>
      <c r="F48" s="183" t="e">
        <f t="shared" si="10"/>
        <v>#REF!</v>
      </c>
      <c r="H48" s="183" t="e">
        <f t="shared" si="11"/>
        <v>#N/A</v>
      </c>
      <c r="J48" s="183">
        <v>18</v>
      </c>
      <c r="K48" s="184" t="e">
        <f t="shared" si="15"/>
        <v>#N/A</v>
      </c>
      <c r="L48" s="185" t="e">
        <f>IF(K48="","",VLOOKUP(K48,'Database Lab+Equip'!$G:$I,3,FALSE))</f>
        <v>#N/A</v>
      </c>
      <c r="M48" s="185" t="e">
        <f>IF(K48="","",SUMIF('Installation 1'!B:B,'Budget-Labour Equipment'!K48,'Installation 1'!I:I)+SUMIF('Subcontract 2'!B:B,'Budget-Labour Equipment'!K48,'Subcontract 2'!I:I)+SUMIF('Optional-3'!B:B,'Budget-Labour Equipment'!K48,'Optional-3'!I:I)+SUMIF('Mob-Demob'!B:B,'Budget-Labour Equipment'!K48,'Mob-Demob'!I:I))</f>
        <v>#N/A</v>
      </c>
      <c r="N48" s="186" t="e">
        <f>IF(K48="","",RANK(L48,$L$31:$L$135)+COUNTIF($L$31:L48,L48)-1)</f>
        <v>#N/A</v>
      </c>
      <c r="P48" s="183" t="e">
        <f t="shared" si="12"/>
        <v>#N/A</v>
      </c>
      <c r="R48" s="32">
        <v>18</v>
      </c>
      <c r="S48" s="31" t="e">
        <f t="shared" si="13"/>
        <v>#N/A</v>
      </c>
      <c r="T48" s="177" t="e">
        <f>IF(S48="","",VLOOKUP(S48,'Database Lab+Equip'!$G:$I,3,FALSE))</f>
        <v>#N/A</v>
      </c>
      <c r="U48" s="177" t="e">
        <f>IF(S48="","",(SUMIF('Installation 1'!B:B,'Budget-Labour Equipment'!S48,'Installation 1'!I:I)+SUMIF('Subcontract 2'!B:B,'Budget-Labour Equipment'!S48,'Subcontract 2'!I:I)+SUMIF('Optional-3'!B:B,'Budget-Labour Equipment'!S48,'Optional-3'!I:I)+SUMIF('Mob-Demob'!B:B,'Budget-Labour Equipment'!S48,'Mob-Demob'!I:I)+SUMIF(Prelims!B:B,'Budget-Labour Equipment'!S48,Prelims!I:I)))</f>
        <v>#N/A</v>
      </c>
      <c r="V48" s="178" t="e">
        <f t="shared" si="14"/>
        <v>#N/A</v>
      </c>
    </row>
    <row r="49" spans="1:22" x14ac:dyDescent="0.3">
      <c r="A49" s="57" t="str">
        <f>IF('Database Lab+Equip'!G5="","Equip. Resource",'Database Lab+Equip'!G5)</f>
        <v>Day hire for 12m x 3m office building w/ aircon, 8 chairs, 4 desks, 2 benches</v>
      </c>
      <c r="B49" s="181">
        <f>IF(A49="Equip. Resource",0,VLOOKUP(A49,'Database Lab+Equip'!G:I,3,FALSE))</f>
        <v>216</v>
      </c>
      <c r="C49" s="181">
        <f>IF(SUMIF('Installation 1'!B:B,'Budget-Labour Equipment'!A49,'Installation 1'!I:I)+SUMIF('Subcontract 2'!B:B,'Budget-Labour Equipment'!A49,'Subcontract 2'!I:I)+SUMIF('Optional-3'!B:B,'Budget-Labour Equipment'!A49,'Optional-3'!I:I)+SUMIF('Mob-Demob'!B:B,'Budget-Labour Equipment'!A49,'Mob-Demob'!I:I)+SUMIF(Prelims!B:B,'Budget-Labour Equipment'!A49,Prelims!I:I)=0,0,(SUMIF('Installation 1'!B:B,'Budget-Labour Equipment'!A49,'Installation 1'!I:I)+SUMIF('Subcontract 2'!B:B,'Budget-Labour Equipment'!A49,'Subcontract 2'!I:I)+SUMIF('Optional-3'!B:B,'Budget-Labour Equipment'!A49,'Optional-3'!I:I)+SUMIF('Mob-Demob'!B:B,'Budget-Labour Equipment'!A49,'Mob-Demob'!I:I)+SUMIF(Prelims!B:B,'Budget-Labour Equipment'!A49,Prelims!I:I)))</f>
        <v>0</v>
      </c>
      <c r="D49" s="182">
        <f t="shared" si="8"/>
        <v>0</v>
      </c>
      <c r="E49" s="183">
        <f t="shared" si="9"/>
        <v>4.8999999999999998E-5</v>
      </c>
      <c r="F49" s="183" t="e">
        <f t="shared" si="10"/>
        <v>#REF!</v>
      </c>
      <c r="H49" s="183" t="e">
        <f t="shared" si="11"/>
        <v>#N/A</v>
      </c>
      <c r="J49" s="183">
        <v>19</v>
      </c>
      <c r="K49" s="184" t="e">
        <f t="shared" si="15"/>
        <v>#N/A</v>
      </c>
      <c r="L49" s="185" t="e">
        <f>IF(K49="","",VLOOKUP(K49,'Database Lab+Equip'!$G:$I,3,FALSE))</f>
        <v>#N/A</v>
      </c>
      <c r="M49" s="185" t="e">
        <f>IF(K49="","",SUMIF('Installation 1'!B:B,'Budget-Labour Equipment'!K49,'Installation 1'!I:I)+SUMIF('Subcontract 2'!B:B,'Budget-Labour Equipment'!K49,'Subcontract 2'!I:I)+SUMIF('Optional-3'!B:B,'Budget-Labour Equipment'!K49,'Optional-3'!I:I)+SUMIF('Mob-Demob'!B:B,'Budget-Labour Equipment'!K49,'Mob-Demob'!I:I))</f>
        <v>#N/A</v>
      </c>
      <c r="N49" s="186" t="e">
        <f>IF(K49="","",RANK(L49,$L$31:$L$135)+COUNTIF($L$31:L49,L49)-1)</f>
        <v>#N/A</v>
      </c>
      <c r="P49" s="183" t="e">
        <f t="shared" si="12"/>
        <v>#N/A</v>
      </c>
      <c r="R49" s="32">
        <v>19</v>
      </c>
      <c r="S49" s="31" t="e">
        <f t="shared" si="13"/>
        <v>#N/A</v>
      </c>
      <c r="T49" s="177" t="e">
        <f>IF(S49="","",VLOOKUP(S49,'Database Lab+Equip'!$G:$I,3,FALSE))</f>
        <v>#N/A</v>
      </c>
      <c r="U49" s="177" t="e">
        <f>IF(S49="","",(SUMIF('Installation 1'!B:B,'Budget-Labour Equipment'!S49,'Installation 1'!I:I)+SUMIF('Subcontract 2'!B:B,'Budget-Labour Equipment'!S49,'Subcontract 2'!I:I)+SUMIF('Optional-3'!B:B,'Budget-Labour Equipment'!S49,'Optional-3'!I:I)+SUMIF('Mob-Demob'!B:B,'Budget-Labour Equipment'!S49,'Mob-Demob'!I:I)+SUMIF(Prelims!B:B,'Budget-Labour Equipment'!S49,Prelims!I:I)))</f>
        <v>#N/A</v>
      </c>
      <c r="V49" s="178" t="e">
        <f t="shared" si="14"/>
        <v>#N/A</v>
      </c>
    </row>
    <row r="50" spans="1:22" x14ac:dyDescent="0.3">
      <c r="A50" s="57" t="e">
        <f>IF('Database Lab+Equip'!#REF!="","Equip. Resource",'Database Lab+Equip'!#REF!)</f>
        <v>#REF!</v>
      </c>
      <c r="B50" s="181" t="e">
        <f>IF(A50="Equip. Resource",0,VLOOKUP(A50,'Database Lab+Equip'!G:I,3,FALSE))</f>
        <v>#REF!</v>
      </c>
      <c r="C50" s="181">
        <f>IF(SUMIF('Installation 1'!B:B,'Budget-Labour Equipment'!A50,'Installation 1'!I:I)+SUMIF('Subcontract 2'!B:B,'Budget-Labour Equipment'!A50,'Subcontract 2'!I:I)+SUMIF('Optional-3'!B:B,'Budget-Labour Equipment'!A50,'Optional-3'!I:I)+SUMIF('Mob-Demob'!B:B,'Budget-Labour Equipment'!A50,'Mob-Demob'!I:I)+SUMIF(Prelims!B:B,'Budget-Labour Equipment'!A50,Prelims!I:I)=0,0,(SUMIF('Installation 1'!B:B,'Budget-Labour Equipment'!A50,'Installation 1'!I:I)+SUMIF('Subcontract 2'!B:B,'Budget-Labour Equipment'!A50,'Subcontract 2'!I:I)+SUMIF('Optional-3'!B:B,'Budget-Labour Equipment'!A50,'Optional-3'!I:I)+SUMIF('Mob-Demob'!B:B,'Budget-Labour Equipment'!A50,'Mob-Demob'!I:I)+SUMIF(Prelims!B:B,'Budget-Labour Equipment'!A50,Prelims!I:I)))</f>
        <v>0</v>
      </c>
      <c r="D50" s="182" t="e">
        <f t="shared" si="8"/>
        <v>#REF!</v>
      </c>
      <c r="E50" s="183" t="e">
        <f t="shared" si="9"/>
        <v>#REF!</v>
      </c>
      <c r="F50" s="183" t="e">
        <f t="shared" si="10"/>
        <v>#REF!</v>
      </c>
      <c r="H50" s="183" t="e">
        <f t="shared" si="11"/>
        <v>#N/A</v>
      </c>
      <c r="J50" s="183">
        <v>20</v>
      </c>
      <c r="K50" s="184" t="e">
        <f t="shared" si="15"/>
        <v>#N/A</v>
      </c>
      <c r="L50" s="185" t="e">
        <f>IF(K50="","",VLOOKUP(K50,'Database Lab+Equip'!$G:$I,3,FALSE))</f>
        <v>#N/A</v>
      </c>
      <c r="M50" s="185" t="e">
        <f>IF(K50="","",SUMIF('Installation 1'!B:B,'Budget-Labour Equipment'!K50,'Installation 1'!I:I)+SUMIF('Subcontract 2'!B:B,'Budget-Labour Equipment'!K50,'Subcontract 2'!I:I)+SUMIF('Optional-3'!B:B,'Budget-Labour Equipment'!K50,'Optional-3'!I:I)+SUMIF('Mob-Demob'!B:B,'Budget-Labour Equipment'!K50,'Mob-Demob'!I:I))</f>
        <v>#N/A</v>
      </c>
      <c r="N50" s="186" t="e">
        <f>IF(K50="","",RANK(L50,$L$31:$L$135)+COUNTIF($L$31:L50,L50)-1)</f>
        <v>#N/A</v>
      </c>
      <c r="P50" s="183" t="e">
        <f t="shared" si="12"/>
        <v>#N/A</v>
      </c>
      <c r="R50" s="32">
        <v>20</v>
      </c>
      <c r="S50" s="31" t="e">
        <f t="shared" si="13"/>
        <v>#N/A</v>
      </c>
      <c r="T50" s="177" t="e">
        <f>IF(S50="","",VLOOKUP(S50,'Database Lab+Equip'!$G:$I,3,FALSE))</f>
        <v>#N/A</v>
      </c>
      <c r="U50" s="177" t="e">
        <f>IF(S50="","",(SUMIF('Installation 1'!B:B,'Budget-Labour Equipment'!S50,'Installation 1'!I:I)+SUMIF('Subcontract 2'!B:B,'Budget-Labour Equipment'!S50,'Subcontract 2'!I:I)+SUMIF('Optional-3'!B:B,'Budget-Labour Equipment'!S50,'Optional-3'!I:I)+SUMIF('Mob-Demob'!B:B,'Budget-Labour Equipment'!S50,'Mob-Demob'!I:I)+SUMIF(Prelims!B:B,'Budget-Labour Equipment'!S50,Prelims!I:I)))</f>
        <v>#N/A</v>
      </c>
      <c r="V50" s="178" t="e">
        <f t="shared" si="14"/>
        <v>#N/A</v>
      </c>
    </row>
    <row r="51" spans="1:22" x14ac:dyDescent="0.3">
      <c r="A51" s="57" t="str">
        <f>IF('Database Lab+Equip'!G6="","Equip. Resource",'Database Lab+Equip'!G6)</f>
        <v>Day hire for 6m x 3m toilet block male/female w 4000l waste tank and steps</v>
      </c>
      <c r="B51" s="181">
        <f>IF(A51="Equip. Resource",0,VLOOKUP(A51,'Database Lab+Equip'!G:I,3,FALSE))</f>
        <v>270</v>
      </c>
      <c r="C51" s="181">
        <f>IF(SUMIF('Installation 1'!B:B,'Budget-Labour Equipment'!A51,'Installation 1'!I:I)+SUMIF('Subcontract 2'!B:B,'Budget-Labour Equipment'!A51,'Subcontract 2'!I:I)+SUMIF('Optional-3'!B:B,'Budget-Labour Equipment'!A51,'Optional-3'!I:I)+SUMIF('Mob-Demob'!B:B,'Budget-Labour Equipment'!A51,'Mob-Demob'!I:I)+SUMIF(Prelims!B:B,'Budget-Labour Equipment'!A51,Prelims!I:I)=0,0,(SUMIF('Installation 1'!B:B,'Budget-Labour Equipment'!A51,'Installation 1'!I:I)+SUMIF('Subcontract 2'!B:B,'Budget-Labour Equipment'!A51,'Subcontract 2'!I:I)+SUMIF('Optional-3'!B:B,'Budget-Labour Equipment'!A51,'Optional-3'!I:I)+SUMIF('Mob-Demob'!B:B,'Budget-Labour Equipment'!A51,'Mob-Demob'!I:I)+SUMIF(Prelims!B:B,'Budget-Labour Equipment'!A51,Prelims!I:I)))</f>
        <v>0</v>
      </c>
      <c r="D51" s="182">
        <f t="shared" si="8"/>
        <v>0</v>
      </c>
      <c r="E51" s="183">
        <f t="shared" si="9"/>
        <v>5.1E-5</v>
      </c>
      <c r="F51" s="183" t="e">
        <f t="shared" si="10"/>
        <v>#REF!</v>
      </c>
      <c r="H51" s="183" t="e">
        <f t="shared" si="11"/>
        <v>#N/A</v>
      </c>
      <c r="J51" s="183">
        <v>21</v>
      </c>
      <c r="K51" s="184" t="e">
        <f t="shared" si="15"/>
        <v>#N/A</v>
      </c>
      <c r="L51" s="185" t="e">
        <f>IF(K51="","",VLOOKUP(K51,'Database Lab+Equip'!$G:$I,3,FALSE))</f>
        <v>#N/A</v>
      </c>
      <c r="M51" s="185" t="e">
        <f>IF(K51="","",SUMIF('Installation 1'!B:B,'Budget-Labour Equipment'!K51,'Installation 1'!I:I)+SUMIF('Subcontract 2'!B:B,'Budget-Labour Equipment'!K51,'Subcontract 2'!I:I)+SUMIF('Optional-3'!B:B,'Budget-Labour Equipment'!K51,'Optional-3'!I:I)+SUMIF('Mob-Demob'!B:B,'Budget-Labour Equipment'!K51,'Mob-Demob'!I:I))</f>
        <v>#N/A</v>
      </c>
      <c r="N51" s="186" t="e">
        <f>IF(K51="","",RANK(L51,$L$31:$L$135)+COUNTIF($L$31:L51,L51)-1)</f>
        <v>#N/A</v>
      </c>
      <c r="P51" s="183" t="e">
        <f t="shared" si="12"/>
        <v>#N/A</v>
      </c>
      <c r="R51" s="32">
        <v>21</v>
      </c>
      <c r="S51" s="31" t="e">
        <f t="shared" si="13"/>
        <v>#N/A</v>
      </c>
      <c r="T51" s="177" t="e">
        <f>IF(S51="","",VLOOKUP(S51,'Database Lab+Equip'!$G:$I,3,FALSE))</f>
        <v>#N/A</v>
      </c>
      <c r="U51" s="177" t="e">
        <f>IF(S51="","",(SUMIF('Installation 1'!B:B,'Budget-Labour Equipment'!S51,'Installation 1'!I:I)+SUMIF('Subcontract 2'!B:B,'Budget-Labour Equipment'!S51,'Subcontract 2'!I:I)+SUMIF('Optional-3'!B:B,'Budget-Labour Equipment'!S51,'Optional-3'!I:I)+SUMIF('Mob-Demob'!B:B,'Budget-Labour Equipment'!S51,'Mob-Demob'!I:I)+SUMIF(Prelims!B:B,'Budget-Labour Equipment'!S51,Prelims!I:I)))</f>
        <v>#N/A</v>
      </c>
      <c r="V51" s="178" t="e">
        <f t="shared" si="14"/>
        <v>#N/A</v>
      </c>
    </row>
    <row r="52" spans="1:22" x14ac:dyDescent="0.3">
      <c r="A52" s="57" t="str">
        <f>IF('Database Lab+Equip'!G7="","Equip. Resource",'Database Lab+Equip'!G7)</f>
        <v>Day Hire for 5000ltr water tank w Davey Pump to supply Potable water for Crib and Ablutions facilities</v>
      </c>
      <c r="B52" s="181">
        <f>IF(A52="Equip. Resource",0,VLOOKUP(A52,'Database Lab+Equip'!G:I,3,FALSE))</f>
        <v>180</v>
      </c>
      <c r="C52" s="181">
        <f>IF(SUMIF('Installation 1'!B:B,'Budget-Labour Equipment'!A52,'Installation 1'!I:I)+SUMIF('Subcontract 2'!B:B,'Budget-Labour Equipment'!A52,'Subcontract 2'!I:I)+SUMIF('Optional-3'!B:B,'Budget-Labour Equipment'!A52,'Optional-3'!I:I)+SUMIF('Mob-Demob'!B:B,'Budget-Labour Equipment'!A52,'Mob-Demob'!I:I)+SUMIF(Prelims!B:B,'Budget-Labour Equipment'!A52,Prelims!I:I)=0,0,(SUMIF('Installation 1'!B:B,'Budget-Labour Equipment'!A52,'Installation 1'!I:I)+SUMIF('Subcontract 2'!B:B,'Budget-Labour Equipment'!A52,'Subcontract 2'!I:I)+SUMIF('Optional-3'!B:B,'Budget-Labour Equipment'!A52,'Optional-3'!I:I)+SUMIF('Mob-Demob'!B:B,'Budget-Labour Equipment'!A52,'Mob-Demob'!I:I)+SUMIF(Prelims!B:B,'Budget-Labour Equipment'!A52,Prelims!I:I)))</f>
        <v>0</v>
      </c>
      <c r="D52" s="182">
        <f t="shared" si="8"/>
        <v>0</v>
      </c>
      <c r="E52" s="183">
        <f t="shared" si="9"/>
        <v>5.1999999999999997E-5</v>
      </c>
      <c r="F52" s="183" t="e">
        <f t="shared" si="10"/>
        <v>#REF!</v>
      </c>
      <c r="H52" s="183" t="e">
        <f t="shared" si="11"/>
        <v>#N/A</v>
      </c>
      <c r="J52" s="183">
        <v>22</v>
      </c>
      <c r="K52" s="184" t="e">
        <f t="shared" si="15"/>
        <v>#N/A</v>
      </c>
      <c r="L52" s="185" t="e">
        <f>IF(K52="","",VLOOKUP(K52,'Database Lab+Equip'!$G:$I,3,FALSE))</f>
        <v>#N/A</v>
      </c>
      <c r="M52" s="185" t="e">
        <f>IF(K52="","",SUMIF('Installation 1'!B:B,'Budget-Labour Equipment'!K52,'Installation 1'!I:I)+SUMIF('Subcontract 2'!B:B,'Budget-Labour Equipment'!K52,'Subcontract 2'!I:I)+SUMIF('Optional-3'!B:B,'Budget-Labour Equipment'!K52,'Optional-3'!I:I)+SUMIF('Mob-Demob'!B:B,'Budget-Labour Equipment'!K52,'Mob-Demob'!I:I))</f>
        <v>#N/A</v>
      </c>
      <c r="N52" s="186" t="e">
        <f>IF(K52="","",RANK(L52,$L$31:$L$135)+COUNTIF($L$31:L52,L52)-1)</f>
        <v>#N/A</v>
      </c>
      <c r="P52" s="183" t="e">
        <f t="shared" si="12"/>
        <v>#N/A</v>
      </c>
      <c r="R52" s="32">
        <v>22</v>
      </c>
      <c r="S52" s="31" t="e">
        <f t="shared" si="13"/>
        <v>#N/A</v>
      </c>
      <c r="T52" s="177" t="e">
        <f>IF(S52="","",VLOOKUP(S52,'Database Lab+Equip'!$G:$I,3,FALSE))</f>
        <v>#N/A</v>
      </c>
      <c r="U52" s="177" t="e">
        <f>IF(S52="","",(SUMIF('Installation 1'!B:B,'Budget-Labour Equipment'!S52,'Installation 1'!I:I)+SUMIF('Subcontract 2'!B:B,'Budget-Labour Equipment'!S52,'Subcontract 2'!I:I)+SUMIF('Optional-3'!B:B,'Budget-Labour Equipment'!S52,'Optional-3'!I:I)+SUMIF('Mob-Demob'!B:B,'Budget-Labour Equipment'!S52,'Mob-Demob'!I:I)+SUMIF(Prelims!B:B,'Budget-Labour Equipment'!S52,Prelims!I:I)))</f>
        <v>#N/A</v>
      </c>
      <c r="V52" s="178" t="e">
        <f t="shared" si="14"/>
        <v>#N/A</v>
      </c>
    </row>
    <row r="53" spans="1:22" x14ac:dyDescent="0.3">
      <c r="A53" s="57" t="e">
        <f>IF('Database Lab+Equip'!#REF!="","Equip. Resource",'Database Lab+Equip'!#REF!)</f>
        <v>#REF!</v>
      </c>
      <c r="B53" s="181" t="e">
        <f>IF(A53="Equip. Resource",0,VLOOKUP(A53,'Database Lab+Equip'!G:I,3,FALSE))</f>
        <v>#REF!</v>
      </c>
      <c r="C53" s="181">
        <f>IF(SUMIF('Installation 1'!B:B,'Budget-Labour Equipment'!A53,'Installation 1'!I:I)+SUMIF('Subcontract 2'!B:B,'Budget-Labour Equipment'!A53,'Subcontract 2'!I:I)+SUMIF('Optional-3'!B:B,'Budget-Labour Equipment'!A53,'Optional-3'!I:I)+SUMIF('Mob-Demob'!B:B,'Budget-Labour Equipment'!A53,'Mob-Demob'!I:I)+SUMIF(Prelims!B:B,'Budget-Labour Equipment'!A53,Prelims!I:I)=0,0,(SUMIF('Installation 1'!B:B,'Budget-Labour Equipment'!A53,'Installation 1'!I:I)+SUMIF('Subcontract 2'!B:B,'Budget-Labour Equipment'!A53,'Subcontract 2'!I:I)+SUMIF('Optional-3'!B:B,'Budget-Labour Equipment'!A53,'Optional-3'!I:I)+SUMIF('Mob-Demob'!B:B,'Budget-Labour Equipment'!A53,'Mob-Demob'!I:I)+SUMIF(Prelims!B:B,'Budget-Labour Equipment'!A53,Prelims!I:I)))</f>
        <v>0</v>
      </c>
      <c r="D53" s="182" t="e">
        <f t="shared" si="8"/>
        <v>#REF!</v>
      </c>
      <c r="E53" s="183" t="e">
        <f t="shared" si="9"/>
        <v>#REF!</v>
      </c>
      <c r="F53" s="183" t="e">
        <f t="shared" si="10"/>
        <v>#REF!</v>
      </c>
      <c r="H53" s="183" t="e">
        <f t="shared" si="11"/>
        <v>#N/A</v>
      </c>
      <c r="J53" s="183">
        <v>23</v>
      </c>
      <c r="K53" s="184" t="e">
        <f t="shared" si="15"/>
        <v>#N/A</v>
      </c>
      <c r="L53" s="185" t="e">
        <f>IF(K53="","",VLOOKUP(K53,'Database Lab+Equip'!$G:$I,3,FALSE))</f>
        <v>#N/A</v>
      </c>
      <c r="M53" s="185" t="e">
        <f>IF(K53="","",SUMIF('Installation 1'!B:B,'Budget-Labour Equipment'!K53,'Installation 1'!I:I)+SUMIF('Subcontract 2'!B:B,'Budget-Labour Equipment'!K53,'Subcontract 2'!I:I)+SUMIF('Optional-3'!B:B,'Budget-Labour Equipment'!K53,'Optional-3'!I:I)+SUMIF('Mob-Demob'!B:B,'Budget-Labour Equipment'!K53,'Mob-Demob'!I:I))</f>
        <v>#N/A</v>
      </c>
      <c r="N53" s="186" t="e">
        <f>IF(K53="","",RANK(L53,$L$31:$L$135)+COUNTIF($L$31:L53,L53)-1)</f>
        <v>#N/A</v>
      </c>
      <c r="P53" s="183" t="e">
        <f t="shared" si="12"/>
        <v>#N/A</v>
      </c>
      <c r="R53" s="32">
        <v>23</v>
      </c>
      <c r="S53" s="31" t="e">
        <f t="shared" si="13"/>
        <v>#N/A</v>
      </c>
      <c r="T53" s="177" t="e">
        <f>IF(S53="","",VLOOKUP(S53,'Database Lab+Equip'!$G:$I,3,FALSE))</f>
        <v>#N/A</v>
      </c>
      <c r="U53" s="177" t="e">
        <f>IF(S53="","",(SUMIF('Installation 1'!B:B,'Budget-Labour Equipment'!S53,'Installation 1'!I:I)+SUMIF('Subcontract 2'!B:B,'Budget-Labour Equipment'!S53,'Subcontract 2'!I:I)+SUMIF('Optional-3'!B:B,'Budget-Labour Equipment'!S53,'Optional-3'!I:I)+SUMIF('Mob-Demob'!B:B,'Budget-Labour Equipment'!S53,'Mob-Demob'!I:I)+SUMIF(Prelims!B:B,'Budget-Labour Equipment'!S53,Prelims!I:I)))</f>
        <v>#N/A</v>
      </c>
      <c r="V53" s="178" t="e">
        <f t="shared" si="14"/>
        <v>#N/A</v>
      </c>
    </row>
    <row r="54" spans="1:22" x14ac:dyDescent="0.3">
      <c r="A54" s="57" t="str">
        <f>IF('Database Lab+Equip'!G8="","Equip. Resource",'Database Lab+Equip'!G8)</f>
        <v>Trailer Mounted Toilet Hire</v>
      </c>
      <c r="B54" s="181">
        <f>IF(A54="Equip. Resource",0,VLOOKUP(A54,'Database Lab+Equip'!G:I,3,FALSE))</f>
        <v>90</v>
      </c>
      <c r="C54" s="181">
        <f>IF(SUMIF('Installation 1'!B:B,'Budget-Labour Equipment'!A54,'Installation 1'!I:I)+SUMIF('Subcontract 2'!B:B,'Budget-Labour Equipment'!A54,'Subcontract 2'!I:I)+SUMIF('Optional-3'!B:B,'Budget-Labour Equipment'!A54,'Optional-3'!I:I)+SUMIF('Mob-Demob'!B:B,'Budget-Labour Equipment'!A54,'Mob-Demob'!I:I)+SUMIF(Prelims!B:B,'Budget-Labour Equipment'!A54,Prelims!I:I)=0,0,(SUMIF('Installation 1'!B:B,'Budget-Labour Equipment'!A54,'Installation 1'!I:I)+SUMIF('Subcontract 2'!B:B,'Budget-Labour Equipment'!A54,'Subcontract 2'!I:I)+SUMIF('Optional-3'!B:B,'Budget-Labour Equipment'!A54,'Optional-3'!I:I)+SUMIF('Mob-Demob'!B:B,'Budget-Labour Equipment'!A54,'Mob-Demob'!I:I)+SUMIF(Prelims!B:B,'Budget-Labour Equipment'!A54,Prelims!I:I)))</f>
        <v>0</v>
      </c>
      <c r="D54" s="182">
        <f t="shared" si="8"/>
        <v>0</v>
      </c>
      <c r="E54" s="183">
        <f t="shared" si="9"/>
        <v>5.3999999999999998E-5</v>
      </c>
      <c r="F54" s="183" t="e">
        <f t="shared" si="10"/>
        <v>#REF!</v>
      </c>
      <c r="H54" s="183" t="e">
        <f t="shared" si="11"/>
        <v>#N/A</v>
      </c>
      <c r="J54" s="183">
        <v>24</v>
      </c>
      <c r="K54" s="184" t="e">
        <f t="shared" si="15"/>
        <v>#N/A</v>
      </c>
      <c r="L54" s="185" t="e">
        <f>IF(K54="","",VLOOKUP(K54,'Database Lab+Equip'!$G:$I,3,FALSE))</f>
        <v>#N/A</v>
      </c>
      <c r="M54" s="185" t="e">
        <f>IF(K54="","",SUMIF('Installation 1'!B:B,'Budget-Labour Equipment'!K54,'Installation 1'!I:I)+SUMIF('Subcontract 2'!B:B,'Budget-Labour Equipment'!K54,'Subcontract 2'!I:I)+SUMIF('Optional-3'!B:B,'Budget-Labour Equipment'!K54,'Optional-3'!I:I)+SUMIF('Mob-Demob'!B:B,'Budget-Labour Equipment'!K54,'Mob-Demob'!I:I))</f>
        <v>#N/A</v>
      </c>
      <c r="N54" s="186" t="e">
        <f>IF(K54="","",RANK(L54,$L$31:$L$135)+COUNTIF($L$31:L54,L54)-1)</f>
        <v>#N/A</v>
      </c>
      <c r="P54" s="183" t="e">
        <f t="shared" si="12"/>
        <v>#N/A</v>
      </c>
      <c r="R54" s="32">
        <v>24</v>
      </c>
      <c r="S54" s="31" t="e">
        <f t="shared" si="13"/>
        <v>#N/A</v>
      </c>
      <c r="T54" s="177" t="e">
        <f>IF(S54="","",VLOOKUP(S54,'Database Lab+Equip'!$G:$I,3,FALSE))</f>
        <v>#N/A</v>
      </c>
      <c r="U54" s="177" t="e">
        <f>IF(S54="","",(SUMIF('Installation 1'!B:B,'Budget-Labour Equipment'!S54,'Installation 1'!I:I)+SUMIF('Subcontract 2'!B:B,'Budget-Labour Equipment'!S54,'Subcontract 2'!I:I)+SUMIF('Optional-3'!B:B,'Budget-Labour Equipment'!S54,'Optional-3'!I:I)+SUMIF('Mob-Demob'!B:B,'Budget-Labour Equipment'!S54,'Mob-Demob'!I:I)+SUMIF(Prelims!B:B,'Budget-Labour Equipment'!S54,Prelims!I:I)))</f>
        <v>#N/A</v>
      </c>
      <c r="V54" s="178" t="e">
        <f t="shared" si="14"/>
        <v>#N/A</v>
      </c>
    </row>
    <row r="55" spans="1:22" x14ac:dyDescent="0.3">
      <c r="A55" s="57" t="str">
        <f>IF('Database Lab+Equip'!G9="","Equip. Resource",'Database Lab+Equip'!G9)</f>
        <v>Shindawa 15kVa Diesel Genset/Welder</v>
      </c>
      <c r="B55" s="181">
        <f>IF(A55="Equip. Resource",0,VLOOKUP(A55,'Database Lab+Equip'!G:I,3,FALSE))</f>
        <v>63</v>
      </c>
      <c r="C55" s="181">
        <f>IF(SUMIF('Installation 1'!B:B,'Budget-Labour Equipment'!A55,'Installation 1'!I:I)+SUMIF('Subcontract 2'!B:B,'Budget-Labour Equipment'!A55,'Subcontract 2'!I:I)+SUMIF('Optional-3'!B:B,'Budget-Labour Equipment'!A55,'Optional-3'!I:I)+SUMIF('Mob-Demob'!B:B,'Budget-Labour Equipment'!A55,'Mob-Demob'!I:I)+SUMIF(Prelims!B:B,'Budget-Labour Equipment'!A55,Prelims!I:I)=0,0,(SUMIF('Installation 1'!B:B,'Budget-Labour Equipment'!A55,'Installation 1'!I:I)+SUMIF('Subcontract 2'!B:B,'Budget-Labour Equipment'!A55,'Subcontract 2'!I:I)+SUMIF('Optional-3'!B:B,'Budget-Labour Equipment'!A55,'Optional-3'!I:I)+SUMIF('Mob-Demob'!B:B,'Budget-Labour Equipment'!A55,'Mob-Demob'!I:I)+SUMIF(Prelims!B:B,'Budget-Labour Equipment'!A55,Prelims!I:I)))</f>
        <v>5424.3</v>
      </c>
      <c r="D55" s="182">
        <f t="shared" si="8"/>
        <v>86.100000000000009</v>
      </c>
      <c r="E55" s="183">
        <f t="shared" si="9"/>
        <v>86.100055000000012</v>
      </c>
      <c r="F55" s="183" t="e">
        <f t="shared" si="10"/>
        <v>#REF!</v>
      </c>
      <c r="H55" s="183" t="e">
        <f t="shared" si="11"/>
        <v>#N/A</v>
      </c>
      <c r="J55" s="183">
        <v>25</v>
      </c>
      <c r="K55" s="184" t="e">
        <f t="shared" si="15"/>
        <v>#N/A</v>
      </c>
      <c r="L55" s="185" t="e">
        <f>IF(K55="","",VLOOKUP(K55,'Database Lab+Equip'!$G:$I,3,FALSE))</f>
        <v>#N/A</v>
      </c>
      <c r="M55" s="185" t="e">
        <f>IF(K55="","",SUMIF('Installation 1'!B:B,'Budget-Labour Equipment'!K55,'Installation 1'!I:I)+SUMIF('Subcontract 2'!B:B,'Budget-Labour Equipment'!K55,'Subcontract 2'!I:I)+SUMIF('Optional-3'!B:B,'Budget-Labour Equipment'!K55,'Optional-3'!I:I)+SUMIF('Mob-Demob'!B:B,'Budget-Labour Equipment'!K55,'Mob-Demob'!I:I))</f>
        <v>#N/A</v>
      </c>
      <c r="N55" s="186" t="e">
        <f>IF(K55="","",RANK(L55,$L$31:$L$135)+COUNTIF($L$31:L55,L55)-1)</f>
        <v>#N/A</v>
      </c>
      <c r="P55" s="183" t="e">
        <f t="shared" si="12"/>
        <v>#N/A</v>
      </c>
      <c r="R55" s="32">
        <v>25</v>
      </c>
      <c r="S55" s="31" t="e">
        <f t="shared" si="13"/>
        <v>#N/A</v>
      </c>
      <c r="T55" s="177" t="e">
        <f>IF(S55="","",VLOOKUP(S55,'Database Lab+Equip'!$G:$I,3,FALSE))</f>
        <v>#N/A</v>
      </c>
      <c r="U55" s="177" t="e">
        <f>IF(S55="","",(SUMIF('Installation 1'!B:B,'Budget-Labour Equipment'!S55,'Installation 1'!I:I)+SUMIF('Subcontract 2'!B:B,'Budget-Labour Equipment'!S55,'Subcontract 2'!I:I)+SUMIF('Optional-3'!B:B,'Budget-Labour Equipment'!S55,'Optional-3'!I:I)+SUMIF('Mob-Demob'!B:B,'Budget-Labour Equipment'!S55,'Mob-Demob'!I:I)+SUMIF(Prelims!B:B,'Budget-Labour Equipment'!S55,Prelims!I:I)))</f>
        <v>#N/A</v>
      </c>
      <c r="V55" s="178" t="e">
        <f t="shared" si="14"/>
        <v>#N/A</v>
      </c>
    </row>
    <row r="56" spans="1:22" x14ac:dyDescent="0.3">
      <c r="A56" s="57" t="str">
        <f>IF('Database Lab+Equip'!G10="","Equip. Resource",'Database Lab+Equip'!G10)</f>
        <v>Kubota Genset 27kVa</v>
      </c>
      <c r="B56" s="181">
        <f>IF(A56="Equip. Resource",0,VLOOKUP(A56,'Database Lab+Equip'!G:I,3,FALSE))</f>
        <v>90</v>
      </c>
      <c r="C56" s="181">
        <f>IF(SUMIF('Installation 1'!B:B,'Budget-Labour Equipment'!A56,'Installation 1'!I:I)+SUMIF('Subcontract 2'!B:B,'Budget-Labour Equipment'!A56,'Subcontract 2'!I:I)+SUMIF('Optional-3'!B:B,'Budget-Labour Equipment'!A56,'Optional-3'!I:I)+SUMIF('Mob-Demob'!B:B,'Budget-Labour Equipment'!A56,'Mob-Demob'!I:I)+SUMIF(Prelims!B:B,'Budget-Labour Equipment'!A56,Prelims!I:I)=0,0,(SUMIF('Installation 1'!B:B,'Budget-Labour Equipment'!A56,'Installation 1'!I:I)+SUMIF('Subcontract 2'!B:B,'Budget-Labour Equipment'!A56,'Subcontract 2'!I:I)+SUMIF('Optional-3'!B:B,'Budget-Labour Equipment'!A56,'Optional-3'!I:I)+SUMIF('Mob-Demob'!B:B,'Budget-Labour Equipment'!A56,'Mob-Demob'!I:I)+SUMIF(Prelims!B:B,'Budget-Labour Equipment'!A56,Prelims!I:I)))</f>
        <v>0</v>
      </c>
      <c r="D56" s="182">
        <f t="shared" si="8"/>
        <v>0</v>
      </c>
      <c r="E56" s="183">
        <f t="shared" si="9"/>
        <v>5.5999999999999999E-5</v>
      </c>
      <c r="F56" s="183" t="e">
        <f t="shared" si="10"/>
        <v>#REF!</v>
      </c>
      <c r="H56" s="183" t="e">
        <f t="shared" si="11"/>
        <v>#N/A</v>
      </c>
      <c r="J56" s="183">
        <v>26</v>
      </c>
      <c r="K56" s="184" t="e">
        <f t="shared" si="15"/>
        <v>#N/A</v>
      </c>
      <c r="L56" s="185" t="e">
        <f>IF(K56="","",VLOOKUP(K56,'Database Lab+Equip'!$G:$I,3,FALSE))</f>
        <v>#N/A</v>
      </c>
      <c r="M56" s="185" t="e">
        <f>IF(K56="","",SUMIF('Installation 1'!B:B,'Budget-Labour Equipment'!K56,'Installation 1'!I:I)+SUMIF('Subcontract 2'!B:B,'Budget-Labour Equipment'!K56,'Subcontract 2'!I:I)+SUMIF('Optional-3'!B:B,'Budget-Labour Equipment'!K56,'Optional-3'!I:I)+SUMIF('Mob-Demob'!B:B,'Budget-Labour Equipment'!K56,'Mob-Demob'!I:I))</f>
        <v>#N/A</v>
      </c>
      <c r="N56" s="186" t="e">
        <f>IF(K56="","",RANK(L56,$L$31:$L$135)+COUNTIF($L$31:L56,L56)-1)</f>
        <v>#N/A</v>
      </c>
      <c r="P56" s="183" t="e">
        <f t="shared" si="12"/>
        <v>#N/A</v>
      </c>
      <c r="R56" s="32">
        <v>26</v>
      </c>
      <c r="S56" s="31" t="e">
        <f t="shared" si="13"/>
        <v>#N/A</v>
      </c>
      <c r="T56" s="177" t="e">
        <f>IF(S56="","",VLOOKUP(S56,'Database Lab+Equip'!$G:$I,3,FALSE))</f>
        <v>#N/A</v>
      </c>
      <c r="U56" s="177" t="e">
        <f>IF(S56="","",(SUMIF('Installation 1'!B:B,'Budget-Labour Equipment'!S56,'Installation 1'!I:I)+SUMIF('Subcontract 2'!B:B,'Budget-Labour Equipment'!S56,'Subcontract 2'!I:I)+SUMIF('Optional-3'!B:B,'Budget-Labour Equipment'!S56,'Optional-3'!I:I)+SUMIF('Mob-Demob'!B:B,'Budget-Labour Equipment'!S56,'Mob-Demob'!I:I)+SUMIF(Prelims!B:B,'Budget-Labour Equipment'!S56,Prelims!I:I)))</f>
        <v>#N/A</v>
      </c>
      <c r="V56" s="178" t="e">
        <f t="shared" si="14"/>
        <v>#N/A</v>
      </c>
    </row>
    <row r="57" spans="1:22" x14ac:dyDescent="0.3">
      <c r="A57" s="57" t="str">
        <f>IF('Database Lab+Equip'!G11="","Equip. Resource",'Database Lab+Equip'!G11)</f>
        <v>Genset 50kVa</v>
      </c>
      <c r="B57" s="181">
        <f>IF(A57="Equip. Resource",0,VLOOKUP(A57,'Database Lab+Equip'!G:I,3,FALSE))</f>
        <v>117</v>
      </c>
      <c r="C57" s="181">
        <f>IF(SUMIF('Installation 1'!B:B,'Budget-Labour Equipment'!A57,'Installation 1'!I:I)+SUMIF('Subcontract 2'!B:B,'Budget-Labour Equipment'!A57,'Subcontract 2'!I:I)+SUMIF('Optional-3'!B:B,'Budget-Labour Equipment'!A57,'Optional-3'!I:I)+SUMIF('Mob-Demob'!B:B,'Budget-Labour Equipment'!A57,'Mob-Demob'!I:I)+SUMIF(Prelims!B:B,'Budget-Labour Equipment'!A57,Prelims!I:I)=0,0,(SUMIF('Installation 1'!B:B,'Budget-Labour Equipment'!A57,'Installation 1'!I:I)+SUMIF('Subcontract 2'!B:B,'Budget-Labour Equipment'!A57,'Subcontract 2'!I:I)+SUMIF('Optional-3'!B:B,'Budget-Labour Equipment'!A57,'Optional-3'!I:I)+SUMIF('Mob-Demob'!B:B,'Budget-Labour Equipment'!A57,'Mob-Demob'!I:I)+SUMIF(Prelims!B:B,'Budget-Labour Equipment'!A57,Prelims!I:I)))</f>
        <v>0</v>
      </c>
      <c r="D57" s="182">
        <f t="shared" si="8"/>
        <v>0</v>
      </c>
      <c r="E57" s="183">
        <f t="shared" si="9"/>
        <v>5.6999999999999996E-5</v>
      </c>
      <c r="F57" s="183" t="e">
        <f t="shared" si="10"/>
        <v>#REF!</v>
      </c>
      <c r="H57" s="183" t="e">
        <f t="shared" si="11"/>
        <v>#N/A</v>
      </c>
      <c r="J57" s="183">
        <v>27</v>
      </c>
      <c r="K57" s="184" t="e">
        <f t="shared" si="15"/>
        <v>#N/A</v>
      </c>
      <c r="L57" s="185" t="e">
        <f>IF(K57="","",VLOOKUP(K57,'Database Lab+Equip'!$G:$I,3,FALSE))</f>
        <v>#N/A</v>
      </c>
      <c r="M57" s="185" t="e">
        <f>IF(K57="","",SUMIF('Installation 1'!B:B,'Budget-Labour Equipment'!K57,'Installation 1'!I:I)+SUMIF('Subcontract 2'!B:B,'Budget-Labour Equipment'!K57,'Subcontract 2'!I:I)+SUMIF('Optional-3'!B:B,'Budget-Labour Equipment'!K57,'Optional-3'!I:I)+SUMIF('Mob-Demob'!B:B,'Budget-Labour Equipment'!K57,'Mob-Demob'!I:I))</f>
        <v>#N/A</v>
      </c>
      <c r="N57" s="186" t="e">
        <f>IF(K57="","",RANK(L57,$L$31:$L$135)+COUNTIF($L$31:L57,L57)-1)</f>
        <v>#N/A</v>
      </c>
      <c r="P57" s="183" t="e">
        <f t="shared" si="12"/>
        <v>#N/A</v>
      </c>
      <c r="R57" s="32">
        <v>27</v>
      </c>
      <c r="S57" s="31" t="e">
        <f t="shared" si="13"/>
        <v>#N/A</v>
      </c>
      <c r="T57" s="177" t="e">
        <f>IF(S57="","",VLOOKUP(S57,'Database Lab+Equip'!$G:$I,3,FALSE))</f>
        <v>#N/A</v>
      </c>
      <c r="U57" s="177" t="e">
        <f>IF(S57="","",(SUMIF('Installation 1'!B:B,'Budget-Labour Equipment'!S57,'Installation 1'!I:I)+SUMIF('Subcontract 2'!B:B,'Budget-Labour Equipment'!S57,'Subcontract 2'!I:I)+SUMIF('Optional-3'!B:B,'Budget-Labour Equipment'!S57,'Optional-3'!I:I)+SUMIF('Mob-Demob'!B:B,'Budget-Labour Equipment'!S57,'Mob-Demob'!I:I)+SUMIF(Prelims!B:B,'Budget-Labour Equipment'!S57,Prelims!I:I)))</f>
        <v>#N/A</v>
      </c>
      <c r="V57" s="178" t="e">
        <f t="shared" si="14"/>
        <v>#N/A</v>
      </c>
    </row>
    <row r="58" spans="1:22" x14ac:dyDescent="0.3">
      <c r="A58" s="57" t="str">
        <f>IF('Database Lab+Equip'!G12="","Equip. Resource",'Database Lab+Equip'!G12)</f>
        <v>Kubota Lowboy Genset 6kVa Silenced</v>
      </c>
      <c r="B58" s="181">
        <f>IF(A58="Equip. Resource",0,VLOOKUP(A58,'Database Lab+Equip'!G:I,3,FALSE))</f>
        <v>45</v>
      </c>
      <c r="C58" s="181">
        <f>IF(SUMIF('Installation 1'!B:B,'Budget-Labour Equipment'!A58,'Installation 1'!I:I)+SUMIF('Subcontract 2'!B:B,'Budget-Labour Equipment'!A58,'Subcontract 2'!I:I)+SUMIF('Optional-3'!B:B,'Budget-Labour Equipment'!A58,'Optional-3'!I:I)+SUMIF('Mob-Demob'!B:B,'Budget-Labour Equipment'!A58,'Mob-Demob'!I:I)+SUMIF(Prelims!B:B,'Budget-Labour Equipment'!A58,Prelims!I:I)=0,0,(SUMIF('Installation 1'!B:B,'Budget-Labour Equipment'!A58,'Installation 1'!I:I)+SUMIF('Subcontract 2'!B:B,'Budget-Labour Equipment'!A58,'Subcontract 2'!I:I)+SUMIF('Optional-3'!B:B,'Budget-Labour Equipment'!A58,'Optional-3'!I:I)+SUMIF('Mob-Demob'!B:B,'Budget-Labour Equipment'!A58,'Mob-Demob'!I:I)+SUMIF(Prelims!B:B,'Budget-Labour Equipment'!A58,Prelims!I:I)))</f>
        <v>189</v>
      </c>
      <c r="D58" s="182">
        <f t="shared" si="8"/>
        <v>4.2</v>
      </c>
      <c r="E58" s="183">
        <f t="shared" si="9"/>
        <v>4.2000580000000003</v>
      </c>
      <c r="F58" s="183" t="e">
        <f t="shared" si="10"/>
        <v>#REF!</v>
      </c>
      <c r="H58" s="183" t="e">
        <f t="shared" si="11"/>
        <v>#N/A</v>
      </c>
      <c r="J58" s="183">
        <v>28</v>
      </c>
      <c r="K58" s="184" t="e">
        <f t="shared" si="15"/>
        <v>#N/A</v>
      </c>
      <c r="L58" s="185" t="e">
        <f>IF(K58="","",VLOOKUP(K58,'Database Lab+Equip'!$G:$I,3,FALSE))</f>
        <v>#N/A</v>
      </c>
      <c r="M58" s="185" t="e">
        <f>IF(K58="","",SUMIF('Installation 1'!B:B,'Budget-Labour Equipment'!K58,'Installation 1'!I:I)+SUMIF('Subcontract 2'!B:B,'Budget-Labour Equipment'!K58,'Subcontract 2'!I:I)+SUMIF('Optional-3'!B:B,'Budget-Labour Equipment'!K58,'Optional-3'!I:I)+SUMIF('Mob-Demob'!B:B,'Budget-Labour Equipment'!K58,'Mob-Demob'!I:I))</f>
        <v>#N/A</v>
      </c>
      <c r="N58" s="186" t="e">
        <f>IF(K58="","",RANK(L58,$L$31:$L$135)+COUNTIF($L$31:L58,L58)-1)</f>
        <v>#N/A</v>
      </c>
      <c r="P58" s="183" t="e">
        <f t="shared" si="12"/>
        <v>#N/A</v>
      </c>
      <c r="R58" s="32">
        <v>28</v>
      </c>
      <c r="S58" s="31" t="e">
        <f t="shared" si="13"/>
        <v>#N/A</v>
      </c>
      <c r="T58" s="177" t="e">
        <f>IF(S58="","",VLOOKUP(S58,'Database Lab+Equip'!$G:$I,3,FALSE))</f>
        <v>#N/A</v>
      </c>
      <c r="U58" s="177" t="e">
        <f>IF(S58="","",(SUMIF('Installation 1'!B:B,'Budget-Labour Equipment'!S58,'Installation 1'!I:I)+SUMIF('Subcontract 2'!B:B,'Budget-Labour Equipment'!S58,'Subcontract 2'!I:I)+SUMIF('Optional-3'!B:B,'Budget-Labour Equipment'!S58,'Optional-3'!I:I)+SUMIF('Mob-Demob'!B:B,'Budget-Labour Equipment'!S58,'Mob-Demob'!I:I)+SUMIF(Prelims!B:B,'Budget-Labour Equipment'!S58,Prelims!I:I)))</f>
        <v>#N/A</v>
      </c>
      <c r="V58" s="178" t="e">
        <f t="shared" si="14"/>
        <v>#N/A</v>
      </c>
    </row>
    <row r="59" spans="1:22" x14ac:dyDescent="0.3">
      <c r="A59" s="57" t="str">
        <f>IF('Database Lab+Equip'!G13="","Equip. Resource",'Database Lab+Equip'!G13)</f>
        <v>Kubota Lowboy Genset 9kVa Silenced</v>
      </c>
      <c r="B59" s="181">
        <f>IF(A59="Equip. Resource",0,VLOOKUP(A59,'Database Lab+Equip'!G:I,3,FALSE))</f>
        <v>54</v>
      </c>
      <c r="C59" s="181">
        <f>IF(SUMIF('Installation 1'!B:B,'Budget-Labour Equipment'!A59,'Installation 1'!I:I)+SUMIF('Subcontract 2'!B:B,'Budget-Labour Equipment'!A59,'Subcontract 2'!I:I)+SUMIF('Optional-3'!B:B,'Budget-Labour Equipment'!A59,'Optional-3'!I:I)+SUMIF('Mob-Demob'!B:B,'Budget-Labour Equipment'!A59,'Mob-Demob'!I:I)+SUMIF(Prelims!B:B,'Budget-Labour Equipment'!A59,Prelims!I:I)=0,0,(SUMIF('Installation 1'!B:B,'Budget-Labour Equipment'!A59,'Installation 1'!I:I)+SUMIF('Subcontract 2'!B:B,'Budget-Labour Equipment'!A59,'Subcontract 2'!I:I)+SUMIF('Optional-3'!B:B,'Budget-Labour Equipment'!A59,'Optional-3'!I:I)+SUMIF('Mob-Demob'!B:B,'Budget-Labour Equipment'!A59,'Mob-Demob'!I:I)+SUMIF(Prelims!B:B,'Budget-Labour Equipment'!A59,Prelims!I:I)))</f>
        <v>0</v>
      </c>
      <c r="D59" s="182">
        <f t="shared" si="8"/>
        <v>0</v>
      </c>
      <c r="E59" s="183">
        <f t="shared" si="9"/>
        <v>5.8999999999999998E-5</v>
      </c>
      <c r="F59" s="183" t="e">
        <f t="shared" si="10"/>
        <v>#REF!</v>
      </c>
      <c r="H59" s="183" t="e">
        <f t="shared" si="11"/>
        <v>#N/A</v>
      </c>
      <c r="J59" s="183">
        <v>29</v>
      </c>
      <c r="K59" s="184" t="e">
        <f t="shared" si="15"/>
        <v>#N/A</v>
      </c>
      <c r="L59" s="185" t="e">
        <f>IF(K59="","",VLOOKUP(K59,'Database Lab+Equip'!$G:$I,3,FALSE))</f>
        <v>#N/A</v>
      </c>
      <c r="M59" s="185" t="e">
        <f>IF(K59="","",SUMIF('Installation 1'!B:B,'Budget-Labour Equipment'!K59,'Installation 1'!I:I)+SUMIF('Subcontract 2'!B:B,'Budget-Labour Equipment'!K59,'Subcontract 2'!I:I)+SUMIF('Optional-3'!B:B,'Budget-Labour Equipment'!K59,'Optional-3'!I:I)+SUMIF('Mob-Demob'!B:B,'Budget-Labour Equipment'!K59,'Mob-Demob'!I:I))</f>
        <v>#N/A</v>
      </c>
      <c r="N59" s="186" t="e">
        <f>IF(K59="","",RANK(L59,$L$31:$L$135)+COUNTIF($L$31:L59,L59)-1)</f>
        <v>#N/A</v>
      </c>
      <c r="P59" s="183" t="e">
        <f t="shared" si="12"/>
        <v>#N/A</v>
      </c>
      <c r="R59" s="32">
        <v>29</v>
      </c>
      <c r="S59" s="31" t="e">
        <f t="shared" si="13"/>
        <v>#N/A</v>
      </c>
      <c r="T59" s="177" t="e">
        <f>IF(S59="","",VLOOKUP(S59,'Database Lab+Equip'!$G:$I,3,FALSE))</f>
        <v>#N/A</v>
      </c>
      <c r="U59" s="177" t="e">
        <f>IF(S59="","",(SUMIF('Installation 1'!B:B,'Budget-Labour Equipment'!S59,'Installation 1'!I:I)+SUMIF('Subcontract 2'!B:B,'Budget-Labour Equipment'!S59,'Subcontract 2'!I:I)+SUMIF('Optional-3'!B:B,'Budget-Labour Equipment'!S59,'Optional-3'!I:I)+SUMIF('Mob-Demob'!B:B,'Budget-Labour Equipment'!S59,'Mob-Demob'!I:I)+SUMIF(Prelims!B:B,'Budget-Labour Equipment'!S59,Prelims!I:I)))</f>
        <v>#N/A</v>
      </c>
      <c r="V59" s="178" t="e">
        <f t="shared" si="14"/>
        <v>#N/A</v>
      </c>
    </row>
    <row r="60" spans="1:22" x14ac:dyDescent="0.3">
      <c r="A60" s="57" t="e">
        <f>IF('Database Lab+Equip'!#REF!="","Equip. Resource",'Database Lab+Equip'!#REF!)</f>
        <v>#REF!</v>
      </c>
      <c r="B60" s="181" t="e">
        <f>IF(A60="Equip. Resource",0,VLOOKUP(A60,'Database Lab+Equip'!G:I,3,FALSE))</f>
        <v>#REF!</v>
      </c>
      <c r="C60" s="181">
        <f>IF(SUMIF('Installation 1'!B:B,'Budget-Labour Equipment'!A60,'Installation 1'!I:I)+SUMIF('Subcontract 2'!B:B,'Budget-Labour Equipment'!A60,'Subcontract 2'!I:I)+SUMIF('Optional-3'!B:B,'Budget-Labour Equipment'!A60,'Optional-3'!I:I)+SUMIF('Mob-Demob'!B:B,'Budget-Labour Equipment'!A60,'Mob-Demob'!I:I)+SUMIF(Prelims!B:B,'Budget-Labour Equipment'!A60,Prelims!I:I)=0,0,(SUMIF('Installation 1'!B:B,'Budget-Labour Equipment'!A60,'Installation 1'!I:I)+SUMIF('Subcontract 2'!B:B,'Budget-Labour Equipment'!A60,'Subcontract 2'!I:I)+SUMIF('Optional-3'!B:B,'Budget-Labour Equipment'!A60,'Optional-3'!I:I)+SUMIF('Mob-Demob'!B:B,'Budget-Labour Equipment'!A60,'Mob-Demob'!I:I)+SUMIF(Prelims!B:B,'Budget-Labour Equipment'!A60,Prelims!I:I)))</f>
        <v>0</v>
      </c>
      <c r="D60" s="182" t="e">
        <f t="shared" si="8"/>
        <v>#REF!</v>
      </c>
      <c r="E60" s="183" t="e">
        <f t="shared" si="9"/>
        <v>#REF!</v>
      </c>
      <c r="F60" s="183" t="e">
        <f t="shared" si="10"/>
        <v>#REF!</v>
      </c>
      <c r="H60" s="183" t="e">
        <f t="shared" si="11"/>
        <v>#N/A</v>
      </c>
      <c r="J60" s="183">
        <v>30</v>
      </c>
      <c r="K60" s="184" t="e">
        <f t="shared" si="15"/>
        <v>#N/A</v>
      </c>
      <c r="L60" s="185" t="e">
        <f>IF(K60="","",VLOOKUP(K60,'Database Lab+Equip'!$G:$I,3,FALSE))</f>
        <v>#N/A</v>
      </c>
      <c r="M60" s="185" t="e">
        <f>IF(K60="","",SUMIF('Installation 1'!B:B,'Budget-Labour Equipment'!K60,'Installation 1'!I:I)+SUMIF('Subcontract 2'!B:B,'Budget-Labour Equipment'!K60,'Subcontract 2'!I:I)+SUMIF('Optional-3'!B:B,'Budget-Labour Equipment'!K60,'Optional-3'!I:I)+SUMIF('Mob-Demob'!B:B,'Budget-Labour Equipment'!K60,'Mob-Demob'!I:I))</f>
        <v>#N/A</v>
      </c>
      <c r="N60" s="186" t="e">
        <f>IF(K60="","",RANK(L60,$L$31:$L$135)+COUNTIF($L$31:L60,L60)-1)</f>
        <v>#N/A</v>
      </c>
      <c r="P60" s="183" t="e">
        <f t="shared" si="12"/>
        <v>#N/A</v>
      </c>
      <c r="R60" s="32">
        <v>30</v>
      </c>
      <c r="S60" s="31" t="e">
        <f t="shared" si="13"/>
        <v>#N/A</v>
      </c>
      <c r="T60" s="177" t="e">
        <f>IF(S60="","",VLOOKUP(S60,'Database Lab+Equip'!$G:$I,3,FALSE))</f>
        <v>#N/A</v>
      </c>
      <c r="U60" s="177" t="e">
        <f>IF(S60="","",(SUMIF('Installation 1'!B:B,'Budget-Labour Equipment'!S60,'Installation 1'!I:I)+SUMIF('Subcontract 2'!B:B,'Budget-Labour Equipment'!S60,'Subcontract 2'!I:I)+SUMIF('Optional-3'!B:B,'Budget-Labour Equipment'!S60,'Optional-3'!I:I)+SUMIF('Mob-Demob'!B:B,'Budget-Labour Equipment'!S60,'Mob-Demob'!I:I)+SUMIF(Prelims!B:B,'Budget-Labour Equipment'!S60,Prelims!I:I)))</f>
        <v>#N/A</v>
      </c>
      <c r="V60" s="178" t="e">
        <f t="shared" si="14"/>
        <v>#N/A</v>
      </c>
    </row>
    <row r="61" spans="1:22" x14ac:dyDescent="0.3">
      <c r="A61" s="57" t="str">
        <f>IF('Database Lab+Equip'!G14="","Equip. Resource",'Database Lab+Equip'!G14)</f>
        <v>Ground Rollers</v>
      </c>
      <c r="B61" s="181">
        <f>IF(A61="Equip. Resource",0,VLOOKUP(A61,'Database Lab+Equip'!G:I,3,FALSE))</f>
        <v>18</v>
      </c>
      <c r="C61" s="181">
        <f>IF(SUMIF('Installation 1'!B:B,'Budget-Labour Equipment'!A61,'Installation 1'!I:I)+SUMIF('Subcontract 2'!B:B,'Budget-Labour Equipment'!A61,'Subcontract 2'!I:I)+SUMIF('Optional-3'!B:B,'Budget-Labour Equipment'!A61,'Optional-3'!I:I)+SUMIF('Mob-Demob'!B:B,'Budget-Labour Equipment'!A61,'Mob-Demob'!I:I)+SUMIF(Prelims!B:B,'Budget-Labour Equipment'!A61,Prelims!I:I)=0,0,(SUMIF('Installation 1'!B:B,'Budget-Labour Equipment'!A61,'Installation 1'!I:I)+SUMIF('Subcontract 2'!B:B,'Budget-Labour Equipment'!A61,'Subcontract 2'!I:I)+SUMIF('Optional-3'!B:B,'Budget-Labour Equipment'!A61,'Optional-3'!I:I)+SUMIF('Mob-Demob'!B:B,'Budget-Labour Equipment'!A61,'Mob-Demob'!I:I)+SUMIF(Prelims!B:B,'Budget-Labour Equipment'!A61,Prelims!I:I)))</f>
        <v>0</v>
      </c>
      <c r="D61" s="182">
        <f t="shared" si="8"/>
        <v>0</v>
      </c>
      <c r="E61" s="183">
        <f t="shared" si="9"/>
        <v>6.0999999999999999E-5</v>
      </c>
      <c r="F61" s="183" t="e">
        <f t="shared" si="10"/>
        <v>#REF!</v>
      </c>
      <c r="H61" s="183" t="e">
        <f t="shared" si="11"/>
        <v>#N/A</v>
      </c>
      <c r="J61" s="183">
        <v>31</v>
      </c>
      <c r="K61" s="184" t="e">
        <f t="shared" si="15"/>
        <v>#N/A</v>
      </c>
      <c r="L61" s="185" t="e">
        <f>IF(K61="","",VLOOKUP(K61,'Database Lab+Equip'!$G:$I,3,FALSE))</f>
        <v>#N/A</v>
      </c>
      <c r="M61" s="185" t="e">
        <f>IF(K61="","",SUMIF('Installation 1'!B:B,'Budget-Labour Equipment'!K61,'Installation 1'!I:I)+SUMIF('Subcontract 2'!B:B,'Budget-Labour Equipment'!K61,'Subcontract 2'!I:I)+SUMIF('Optional-3'!B:B,'Budget-Labour Equipment'!K61,'Optional-3'!I:I)+SUMIF('Mob-Demob'!B:B,'Budget-Labour Equipment'!K61,'Mob-Demob'!I:I))</f>
        <v>#N/A</v>
      </c>
      <c r="N61" s="186" t="e">
        <f>IF(K61="","",RANK(L61,$L$31:$L$135)+COUNTIF($L$31:L61,L61)-1)</f>
        <v>#N/A</v>
      </c>
      <c r="P61" s="183" t="e">
        <f t="shared" si="12"/>
        <v>#N/A</v>
      </c>
      <c r="R61" s="32">
        <v>31</v>
      </c>
      <c r="S61" s="31" t="e">
        <f t="shared" si="13"/>
        <v>#N/A</v>
      </c>
      <c r="T61" s="177" t="e">
        <f>IF(S61="","",VLOOKUP(S61,'Database Lab+Equip'!$G:$I,3,FALSE))</f>
        <v>#N/A</v>
      </c>
      <c r="U61" s="177" t="e">
        <f>IF(S61="","",(SUMIF('Installation 1'!B:B,'Budget-Labour Equipment'!S61,'Installation 1'!I:I)+SUMIF('Subcontract 2'!B:B,'Budget-Labour Equipment'!S61,'Subcontract 2'!I:I)+SUMIF('Optional-3'!B:B,'Budget-Labour Equipment'!S61,'Optional-3'!I:I)+SUMIF('Mob-Demob'!B:B,'Budget-Labour Equipment'!S61,'Mob-Demob'!I:I)+SUMIF(Prelims!B:B,'Budget-Labour Equipment'!S61,Prelims!I:I)))</f>
        <v>#N/A</v>
      </c>
      <c r="V61" s="178" t="e">
        <f t="shared" si="14"/>
        <v>#N/A</v>
      </c>
    </row>
    <row r="62" spans="1:22" x14ac:dyDescent="0.3">
      <c r="A62" s="57" t="str">
        <f>IF('Database Lab+Equip'!G15="","Equip. Resource",'Database Lab+Equip'!G15)</f>
        <v>Day rate for hire of hole saw</v>
      </c>
      <c r="B62" s="181">
        <f>IF(A62="Equip. Resource",0,VLOOKUP(A62,'Database Lab+Equip'!G:I,3,FALSE))</f>
        <v>36</v>
      </c>
      <c r="C62" s="181">
        <f>IF(SUMIF('Installation 1'!B:B,'Budget-Labour Equipment'!A62,'Installation 1'!I:I)+SUMIF('Subcontract 2'!B:B,'Budget-Labour Equipment'!A62,'Subcontract 2'!I:I)+SUMIF('Optional-3'!B:B,'Budget-Labour Equipment'!A62,'Optional-3'!I:I)+SUMIF('Mob-Demob'!B:B,'Budget-Labour Equipment'!A62,'Mob-Demob'!I:I)+SUMIF(Prelims!B:B,'Budget-Labour Equipment'!A62,Prelims!I:I)=0,0,(SUMIF('Installation 1'!B:B,'Budget-Labour Equipment'!A62,'Installation 1'!I:I)+SUMIF('Subcontract 2'!B:B,'Budget-Labour Equipment'!A62,'Subcontract 2'!I:I)+SUMIF('Optional-3'!B:B,'Budget-Labour Equipment'!A62,'Optional-3'!I:I)+SUMIF('Mob-Demob'!B:B,'Budget-Labour Equipment'!A62,'Mob-Demob'!I:I)+SUMIF(Prelims!B:B,'Budget-Labour Equipment'!A62,Prelims!I:I)))</f>
        <v>0</v>
      </c>
      <c r="D62" s="182">
        <f t="shared" si="8"/>
        <v>0</v>
      </c>
      <c r="E62" s="183">
        <f t="shared" si="9"/>
        <v>6.2000000000000003E-5</v>
      </c>
      <c r="F62" s="183" t="e">
        <f t="shared" si="10"/>
        <v>#REF!</v>
      </c>
      <c r="H62" s="183" t="e">
        <f t="shared" si="11"/>
        <v>#N/A</v>
      </c>
      <c r="J62" s="183">
        <v>32</v>
      </c>
      <c r="K62" s="184" t="e">
        <f t="shared" si="15"/>
        <v>#N/A</v>
      </c>
      <c r="L62" s="185" t="e">
        <f>IF(K62="","",VLOOKUP(K62,'Database Lab+Equip'!$G:$I,3,FALSE))</f>
        <v>#N/A</v>
      </c>
      <c r="M62" s="185" t="e">
        <f>IF(K62="","",SUMIF('Installation 1'!B:B,'Budget-Labour Equipment'!K62,'Installation 1'!I:I)+SUMIF('Subcontract 2'!B:B,'Budget-Labour Equipment'!K62,'Subcontract 2'!I:I)+SUMIF('Optional-3'!B:B,'Budget-Labour Equipment'!K62,'Optional-3'!I:I)+SUMIF('Mob-Demob'!B:B,'Budget-Labour Equipment'!K62,'Mob-Demob'!I:I))</f>
        <v>#N/A</v>
      </c>
      <c r="N62" s="186" t="e">
        <f>IF(K62="","",RANK(L62,$L$31:$L$135)+COUNTIF($L$31:L62,L62)-1)</f>
        <v>#N/A</v>
      </c>
      <c r="P62" s="183" t="e">
        <f t="shared" si="12"/>
        <v>#N/A</v>
      </c>
      <c r="R62" s="32">
        <v>32</v>
      </c>
      <c r="S62" s="31" t="e">
        <f t="shared" si="13"/>
        <v>#N/A</v>
      </c>
      <c r="T62" s="177" t="e">
        <f>IF(S62="","",VLOOKUP(S62,'Database Lab+Equip'!$G:$I,3,FALSE))</f>
        <v>#N/A</v>
      </c>
      <c r="U62" s="177" t="e">
        <f>IF(S62="","",(SUMIF('Installation 1'!B:B,'Budget-Labour Equipment'!S62,'Installation 1'!I:I)+SUMIF('Subcontract 2'!B:B,'Budget-Labour Equipment'!S62,'Subcontract 2'!I:I)+SUMIF('Optional-3'!B:B,'Budget-Labour Equipment'!S62,'Optional-3'!I:I)+SUMIF('Mob-Demob'!B:B,'Budget-Labour Equipment'!S62,'Mob-Demob'!I:I)+SUMIF(Prelims!B:B,'Budget-Labour Equipment'!S62,Prelims!I:I)))</f>
        <v>#N/A</v>
      </c>
      <c r="V62" s="178" t="e">
        <f t="shared" si="14"/>
        <v>#N/A</v>
      </c>
    </row>
    <row r="63" spans="1:22" x14ac:dyDescent="0.3">
      <c r="A63" s="57" t="str">
        <f>IF('Database Lab+Equip'!G16="","Equip. Resource",'Database Lab+Equip'!G16)</f>
        <v>Triac Hot Air Welder c/w various welding and cutting tips</v>
      </c>
      <c r="B63" s="181">
        <f>IF(A63="Equip. Resource",0,VLOOKUP(A63,'Database Lab+Equip'!G:I,3,FALSE))</f>
        <v>90</v>
      </c>
      <c r="C63" s="181">
        <f>IF(SUMIF('Installation 1'!B:B,'Budget-Labour Equipment'!A63,'Installation 1'!I:I)+SUMIF('Subcontract 2'!B:B,'Budget-Labour Equipment'!A63,'Subcontract 2'!I:I)+SUMIF('Optional-3'!B:B,'Budget-Labour Equipment'!A63,'Optional-3'!I:I)+SUMIF('Mob-Demob'!B:B,'Budget-Labour Equipment'!A63,'Mob-Demob'!I:I)+SUMIF(Prelims!B:B,'Budget-Labour Equipment'!A63,Prelims!I:I)=0,0,(SUMIF('Installation 1'!B:B,'Budget-Labour Equipment'!A63,'Installation 1'!I:I)+SUMIF('Subcontract 2'!B:B,'Budget-Labour Equipment'!A63,'Subcontract 2'!I:I)+SUMIF('Optional-3'!B:B,'Budget-Labour Equipment'!A63,'Optional-3'!I:I)+SUMIF('Mob-Demob'!B:B,'Budget-Labour Equipment'!A63,'Mob-Demob'!I:I)+SUMIF(Prelims!B:B,'Budget-Labour Equipment'!A63,Prelims!I:I)))</f>
        <v>0</v>
      </c>
      <c r="D63" s="182">
        <f t="shared" si="8"/>
        <v>0</v>
      </c>
      <c r="E63" s="183">
        <f t="shared" si="9"/>
        <v>6.3E-5</v>
      </c>
      <c r="F63" s="183" t="e">
        <f t="shared" si="10"/>
        <v>#REF!</v>
      </c>
      <c r="H63" s="183" t="e">
        <f t="shared" si="11"/>
        <v>#N/A</v>
      </c>
      <c r="J63" s="183">
        <v>33</v>
      </c>
      <c r="K63" s="184" t="e">
        <f t="shared" si="15"/>
        <v>#N/A</v>
      </c>
      <c r="L63" s="185" t="e">
        <f>IF(K63="","",VLOOKUP(K63,'Database Lab+Equip'!$G:$I,3,FALSE))</f>
        <v>#N/A</v>
      </c>
      <c r="M63" s="185" t="e">
        <f>IF(K63="","",SUMIF('Installation 1'!B:B,'Budget-Labour Equipment'!K63,'Installation 1'!I:I)+SUMIF('Subcontract 2'!B:B,'Budget-Labour Equipment'!K63,'Subcontract 2'!I:I)+SUMIF('Optional-3'!B:B,'Budget-Labour Equipment'!K63,'Optional-3'!I:I)+SUMIF('Mob-Demob'!B:B,'Budget-Labour Equipment'!K63,'Mob-Demob'!I:I))</f>
        <v>#N/A</v>
      </c>
      <c r="N63" s="186" t="e">
        <f>IF(K63="","",RANK(L63,$L$31:$L$135)+COUNTIF($L$31:L63,L63)-1)</f>
        <v>#N/A</v>
      </c>
      <c r="P63" s="183" t="e">
        <f t="shared" si="12"/>
        <v>#N/A</v>
      </c>
      <c r="R63" s="32">
        <v>33</v>
      </c>
      <c r="S63" s="31" t="e">
        <f t="shared" si="13"/>
        <v>#N/A</v>
      </c>
      <c r="T63" s="177" t="e">
        <f>IF(S63="","",VLOOKUP(S63,'Database Lab+Equip'!$G:$I,3,FALSE))</f>
        <v>#N/A</v>
      </c>
      <c r="U63" s="177" t="e">
        <f>IF(S63="","",(SUMIF('Installation 1'!B:B,'Budget-Labour Equipment'!S63,'Installation 1'!I:I)+SUMIF('Subcontract 2'!B:B,'Budget-Labour Equipment'!S63,'Subcontract 2'!I:I)+SUMIF('Optional-3'!B:B,'Budget-Labour Equipment'!S63,'Optional-3'!I:I)+SUMIF('Mob-Demob'!B:B,'Budget-Labour Equipment'!S63,'Mob-Demob'!I:I)+SUMIF(Prelims!B:B,'Budget-Labour Equipment'!S63,Prelims!I:I)))</f>
        <v>#N/A</v>
      </c>
      <c r="V63" s="178" t="e">
        <f t="shared" si="14"/>
        <v>#N/A</v>
      </c>
    </row>
    <row r="64" spans="1:22" x14ac:dyDescent="0.3">
      <c r="A64" s="57" t="e">
        <f>IF('Database Lab+Equip'!#REF!="","Equip. Resource",'Database Lab+Equip'!#REF!)</f>
        <v>#REF!</v>
      </c>
      <c r="B64" s="181" t="e">
        <f>IF(A64="Equip. Resource",0,VLOOKUP(A64,'Database Lab+Equip'!G:I,3,FALSE))</f>
        <v>#REF!</v>
      </c>
      <c r="C64" s="181">
        <f>IF(SUMIF('Installation 1'!B:B,'Budget-Labour Equipment'!A64,'Installation 1'!I:I)+SUMIF('Subcontract 2'!B:B,'Budget-Labour Equipment'!A64,'Subcontract 2'!I:I)+SUMIF('Optional-3'!B:B,'Budget-Labour Equipment'!A64,'Optional-3'!I:I)+SUMIF('Mob-Demob'!B:B,'Budget-Labour Equipment'!A64,'Mob-Demob'!I:I)+SUMIF(Prelims!B:B,'Budget-Labour Equipment'!A64,Prelims!I:I)=0,0,(SUMIF('Installation 1'!B:B,'Budget-Labour Equipment'!A64,'Installation 1'!I:I)+SUMIF('Subcontract 2'!B:B,'Budget-Labour Equipment'!A64,'Subcontract 2'!I:I)+SUMIF('Optional-3'!B:B,'Budget-Labour Equipment'!A64,'Optional-3'!I:I)+SUMIF('Mob-Demob'!B:B,'Budget-Labour Equipment'!A64,'Mob-Demob'!I:I)+SUMIF(Prelims!B:B,'Budget-Labour Equipment'!A64,Prelims!I:I)))</f>
        <v>0</v>
      </c>
      <c r="D64" s="182" t="e">
        <f t="shared" si="8"/>
        <v>#REF!</v>
      </c>
      <c r="E64" s="183" t="e">
        <f t="shared" si="9"/>
        <v>#REF!</v>
      </c>
      <c r="F64" s="183" t="e">
        <f t="shared" si="10"/>
        <v>#REF!</v>
      </c>
      <c r="H64" s="183" t="e">
        <f t="shared" si="11"/>
        <v>#N/A</v>
      </c>
      <c r="J64" s="183">
        <v>34</v>
      </c>
      <c r="K64" s="184" t="e">
        <f t="shared" si="15"/>
        <v>#N/A</v>
      </c>
      <c r="L64" s="185" t="e">
        <f>IF(K64="","",VLOOKUP(K64,'Database Lab+Equip'!$G:$I,3,FALSE))</f>
        <v>#N/A</v>
      </c>
      <c r="M64" s="185" t="e">
        <f>IF(K64="","",SUMIF('Installation 1'!B:B,'Budget-Labour Equipment'!K64,'Installation 1'!I:I)+SUMIF('Subcontract 2'!B:B,'Budget-Labour Equipment'!K64,'Subcontract 2'!I:I)+SUMIF('Optional-3'!B:B,'Budget-Labour Equipment'!K64,'Optional-3'!I:I)+SUMIF('Mob-Demob'!B:B,'Budget-Labour Equipment'!K64,'Mob-Demob'!I:I))</f>
        <v>#N/A</v>
      </c>
      <c r="N64" s="186" t="e">
        <f>IF(K64="","",RANK(L64,$L$31:$L$135)+COUNTIF($L$31:L64,L64)-1)</f>
        <v>#N/A</v>
      </c>
      <c r="P64" s="183" t="e">
        <f t="shared" si="12"/>
        <v>#N/A</v>
      </c>
      <c r="R64" s="32">
        <v>34</v>
      </c>
      <c r="S64" s="31" t="e">
        <f t="shared" si="13"/>
        <v>#N/A</v>
      </c>
      <c r="T64" s="177" t="e">
        <f>IF(S64="","",VLOOKUP(S64,'Database Lab+Equip'!$G:$I,3,FALSE))</f>
        <v>#N/A</v>
      </c>
      <c r="U64" s="177" t="e">
        <f>IF(S64="","",(SUMIF('Installation 1'!B:B,'Budget-Labour Equipment'!S64,'Installation 1'!I:I)+SUMIF('Subcontract 2'!B:B,'Budget-Labour Equipment'!S64,'Subcontract 2'!I:I)+SUMIF('Optional-3'!B:B,'Budget-Labour Equipment'!S64,'Optional-3'!I:I)+SUMIF('Mob-Demob'!B:B,'Budget-Labour Equipment'!S64,'Mob-Demob'!I:I)+SUMIF(Prelims!B:B,'Budget-Labour Equipment'!S64,Prelims!I:I)))</f>
        <v>#N/A</v>
      </c>
      <c r="V64" s="178" t="e">
        <f t="shared" si="14"/>
        <v>#N/A</v>
      </c>
    </row>
    <row r="65" spans="1:22" x14ac:dyDescent="0.3">
      <c r="A65" s="57" t="e">
        <f>IF('Database Lab+Equip'!#REF!="","Equip. Resource",'Database Lab+Equip'!#REF!)</f>
        <v>#REF!</v>
      </c>
      <c r="B65" s="181" t="e">
        <f>IF(A65="Equip. Resource",0,VLOOKUP(A65,'Database Lab+Equip'!G:I,3,FALSE))</f>
        <v>#REF!</v>
      </c>
      <c r="C65" s="181">
        <f>IF(SUMIF('Installation 1'!B:B,'Budget-Labour Equipment'!A65,'Installation 1'!I:I)+SUMIF('Subcontract 2'!B:B,'Budget-Labour Equipment'!A65,'Subcontract 2'!I:I)+SUMIF('Optional-3'!B:B,'Budget-Labour Equipment'!A65,'Optional-3'!I:I)+SUMIF('Mob-Demob'!B:B,'Budget-Labour Equipment'!A65,'Mob-Demob'!I:I)+SUMIF(Prelims!B:B,'Budget-Labour Equipment'!A65,Prelims!I:I)=0,0,(SUMIF('Installation 1'!B:B,'Budget-Labour Equipment'!A65,'Installation 1'!I:I)+SUMIF('Subcontract 2'!B:B,'Budget-Labour Equipment'!A65,'Subcontract 2'!I:I)+SUMIF('Optional-3'!B:B,'Budget-Labour Equipment'!A65,'Optional-3'!I:I)+SUMIF('Mob-Demob'!B:B,'Budget-Labour Equipment'!A65,'Mob-Demob'!I:I)+SUMIF(Prelims!B:B,'Budget-Labour Equipment'!A65,Prelims!I:I)))</f>
        <v>0</v>
      </c>
      <c r="D65" s="182" t="e">
        <f t="shared" si="8"/>
        <v>#REF!</v>
      </c>
      <c r="E65" s="183" t="e">
        <f t="shared" si="9"/>
        <v>#REF!</v>
      </c>
      <c r="F65" s="183" t="e">
        <f t="shared" si="10"/>
        <v>#REF!</v>
      </c>
      <c r="H65" s="183" t="e">
        <f t="shared" si="11"/>
        <v>#N/A</v>
      </c>
      <c r="J65" s="183">
        <v>35</v>
      </c>
      <c r="K65" s="184" t="e">
        <f t="shared" si="15"/>
        <v>#N/A</v>
      </c>
      <c r="L65" s="185" t="e">
        <f>IF(K65="","",VLOOKUP(K65,'Database Lab+Equip'!$G:$I,3,FALSE))</f>
        <v>#N/A</v>
      </c>
      <c r="M65" s="185" t="e">
        <f>IF(K65="","",SUMIF('Installation 1'!B:B,'Budget-Labour Equipment'!K65,'Installation 1'!I:I)+SUMIF('Subcontract 2'!B:B,'Budget-Labour Equipment'!K65,'Subcontract 2'!I:I)+SUMIF('Optional-3'!B:B,'Budget-Labour Equipment'!K65,'Optional-3'!I:I)+SUMIF('Mob-Demob'!B:B,'Budget-Labour Equipment'!K65,'Mob-Demob'!I:I))</f>
        <v>#N/A</v>
      </c>
      <c r="N65" s="186" t="e">
        <f>IF(K65="","",RANK(L65,$L$31:$L$135)+COUNTIF($L$31:L65,L65)-1)</f>
        <v>#N/A</v>
      </c>
      <c r="P65" s="183" t="e">
        <f t="shared" si="12"/>
        <v>#N/A</v>
      </c>
      <c r="R65" s="32">
        <v>35</v>
      </c>
      <c r="S65" s="31" t="e">
        <f t="shared" si="13"/>
        <v>#N/A</v>
      </c>
      <c r="T65" s="177" t="e">
        <f>IF(S65="","",VLOOKUP(S65,'Database Lab+Equip'!$G:$I,3,FALSE))</f>
        <v>#N/A</v>
      </c>
      <c r="U65" s="177" t="e">
        <f>IF(S65="","",(SUMIF('Installation 1'!B:B,'Budget-Labour Equipment'!S65,'Installation 1'!I:I)+SUMIF('Subcontract 2'!B:B,'Budget-Labour Equipment'!S65,'Subcontract 2'!I:I)+SUMIF('Optional-3'!B:B,'Budget-Labour Equipment'!S65,'Optional-3'!I:I)+SUMIF('Mob-Demob'!B:B,'Budget-Labour Equipment'!S65,'Mob-Demob'!I:I)+SUMIF(Prelims!B:B,'Budget-Labour Equipment'!S65,Prelims!I:I)))</f>
        <v>#N/A</v>
      </c>
      <c r="V65" s="178" t="e">
        <f t="shared" si="14"/>
        <v>#N/A</v>
      </c>
    </row>
    <row r="66" spans="1:22" x14ac:dyDescent="0.3">
      <c r="A66" s="57" t="e">
        <f>IF('Database Lab+Equip'!#REF!="","Equip. Resource",'Database Lab+Equip'!#REF!)</f>
        <v>#REF!</v>
      </c>
      <c r="B66" s="181" t="e">
        <f>IF(A66="Equip. Resource",0,VLOOKUP(A66,'Database Lab+Equip'!G:I,3,FALSE))</f>
        <v>#REF!</v>
      </c>
      <c r="C66" s="181">
        <f>IF(SUMIF('Installation 1'!B:B,'Budget-Labour Equipment'!A66,'Installation 1'!I:I)+SUMIF('Subcontract 2'!B:B,'Budget-Labour Equipment'!A66,'Subcontract 2'!I:I)+SUMIF('Optional-3'!B:B,'Budget-Labour Equipment'!A66,'Optional-3'!I:I)+SUMIF('Mob-Demob'!B:B,'Budget-Labour Equipment'!A66,'Mob-Demob'!I:I)+SUMIF(Prelims!B:B,'Budget-Labour Equipment'!A66,Prelims!I:I)=0,0,(SUMIF('Installation 1'!B:B,'Budget-Labour Equipment'!A66,'Installation 1'!I:I)+SUMIF('Subcontract 2'!B:B,'Budget-Labour Equipment'!A66,'Subcontract 2'!I:I)+SUMIF('Optional-3'!B:B,'Budget-Labour Equipment'!A66,'Optional-3'!I:I)+SUMIF('Mob-Demob'!B:B,'Budget-Labour Equipment'!A66,'Mob-Demob'!I:I)+SUMIF(Prelims!B:B,'Budget-Labour Equipment'!A66,Prelims!I:I)))</f>
        <v>0</v>
      </c>
      <c r="D66" s="182" t="e">
        <f t="shared" si="8"/>
        <v>#REF!</v>
      </c>
      <c r="E66" s="183" t="e">
        <f t="shared" si="9"/>
        <v>#REF!</v>
      </c>
      <c r="F66" s="183" t="e">
        <f t="shared" si="10"/>
        <v>#REF!</v>
      </c>
      <c r="H66" s="183" t="e">
        <f t="shared" si="11"/>
        <v>#N/A</v>
      </c>
      <c r="J66" s="183">
        <v>36</v>
      </c>
      <c r="K66" s="184" t="e">
        <f t="shared" si="15"/>
        <v>#N/A</v>
      </c>
      <c r="L66" s="185" t="e">
        <f>IF(K66="","",VLOOKUP(K66,'Database Lab+Equip'!$G:$I,3,FALSE))</f>
        <v>#N/A</v>
      </c>
      <c r="M66" s="185" t="e">
        <f>IF(K66="","",SUMIF('Installation 1'!B:B,'Budget-Labour Equipment'!K66,'Installation 1'!I:I)+SUMIF('Subcontract 2'!B:B,'Budget-Labour Equipment'!K66,'Subcontract 2'!I:I)+SUMIF('Optional-3'!B:B,'Budget-Labour Equipment'!K66,'Optional-3'!I:I)+SUMIF('Mob-Demob'!B:B,'Budget-Labour Equipment'!K66,'Mob-Demob'!I:I))</f>
        <v>#N/A</v>
      </c>
      <c r="N66" s="186" t="e">
        <f>IF(K66="","",RANK(L66,$L$31:$L$135)+COUNTIF($L$31:L66,L66)-1)</f>
        <v>#N/A</v>
      </c>
      <c r="P66" s="183" t="e">
        <f t="shared" si="12"/>
        <v>#N/A</v>
      </c>
      <c r="R66" s="32">
        <v>36</v>
      </c>
      <c r="S66" s="31" t="e">
        <f t="shared" si="13"/>
        <v>#N/A</v>
      </c>
      <c r="T66" s="177" t="e">
        <f>IF(S66="","",VLOOKUP(S66,'Database Lab+Equip'!$G:$I,3,FALSE))</f>
        <v>#N/A</v>
      </c>
      <c r="U66" s="177" t="e">
        <f>IF(S66="","",(SUMIF('Installation 1'!B:B,'Budget-Labour Equipment'!S66,'Installation 1'!I:I)+SUMIF('Subcontract 2'!B:B,'Budget-Labour Equipment'!S66,'Subcontract 2'!I:I)+SUMIF('Optional-3'!B:B,'Budget-Labour Equipment'!S66,'Optional-3'!I:I)+SUMIF('Mob-Demob'!B:B,'Budget-Labour Equipment'!S66,'Mob-Demob'!I:I)+SUMIF(Prelims!B:B,'Budget-Labour Equipment'!S66,Prelims!I:I)))</f>
        <v>#N/A</v>
      </c>
      <c r="V66" s="178" t="e">
        <f t="shared" si="14"/>
        <v>#N/A</v>
      </c>
    </row>
    <row r="67" spans="1:22" x14ac:dyDescent="0.3">
      <c r="A67" s="57" t="e">
        <f>IF('Database Lab+Equip'!#REF!="","Equip. Resource",'Database Lab+Equip'!#REF!)</f>
        <v>#REF!</v>
      </c>
      <c r="B67" s="181" t="e">
        <f>IF(A67="Equip. Resource",0,VLOOKUP(A67,'Database Lab+Equip'!G:I,3,FALSE))</f>
        <v>#REF!</v>
      </c>
      <c r="C67" s="181">
        <f>IF(SUMIF('Installation 1'!B:B,'Budget-Labour Equipment'!A67,'Installation 1'!I:I)+SUMIF('Subcontract 2'!B:B,'Budget-Labour Equipment'!A67,'Subcontract 2'!I:I)+SUMIF('Optional-3'!B:B,'Budget-Labour Equipment'!A67,'Optional-3'!I:I)+SUMIF('Mob-Demob'!B:B,'Budget-Labour Equipment'!A67,'Mob-Demob'!I:I)+SUMIF(Prelims!B:B,'Budget-Labour Equipment'!A67,Prelims!I:I)=0,0,(SUMIF('Installation 1'!B:B,'Budget-Labour Equipment'!A67,'Installation 1'!I:I)+SUMIF('Subcontract 2'!B:B,'Budget-Labour Equipment'!A67,'Subcontract 2'!I:I)+SUMIF('Optional-3'!B:B,'Budget-Labour Equipment'!A67,'Optional-3'!I:I)+SUMIF('Mob-Demob'!B:B,'Budget-Labour Equipment'!A67,'Mob-Demob'!I:I)+SUMIF(Prelims!B:B,'Budget-Labour Equipment'!A67,Prelims!I:I)))</f>
        <v>0</v>
      </c>
      <c r="D67" s="182" t="e">
        <f t="shared" si="8"/>
        <v>#REF!</v>
      </c>
      <c r="E67" s="183" t="e">
        <f t="shared" si="9"/>
        <v>#REF!</v>
      </c>
      <c r="F67" s="183" t="e">
        <f t="shared" si="10"/>
        <v>#REF!</v>
      </c>
      <c r="H67" s="183" t="e">
        <f t="shared" si="11"/>
        <v>#N/A</v>
      </c>
      <c r="J67" s="183">
        <v>37</v>
      </c>
      <c r="K67" s="184" t="e">
        <f t="shared" si="15"/>
        <v>#N/A</v>
      </c>
      <c r="L67" s="185" t="e">
        <f>IF(K67="","",VLOOKUP(K67,'Database Lab+Equip'!$G:$I,3,FALSE))</f>
        <v>#N/A</v>
      </c>
      <c r="M67" s="185" t="e">
        <f>IF(K67="","",SUMIF('Installation 1'!B:B,'Budget-Labour Equipment'!K67,'Installation 1'!I:I)+SUMIF('Subcontract 2'!B:B,'Budget-Labour Equipment'!K67,'Subcontract 2'!I:I)+SUMIF('Optional-3'!B:B,'Budget-Labour Equipment'!K67,'Optional-3'!I:I)+SUMIF('Mob-Demob'!B:B,'Budget-Labour Equipment'!K67,'Mob-Demob'!I:I))</f>
        <v>#N/A</v>
      </c>
      <c r="N67" s="186" t="e">
        <f>IF(K67="","",RANK(L67,$L$31:$L$135)+COUNTIF($L$31:L67,L67)-1)</f>
        <v>#N/A</v>
      </c>
      <c r="P67" s="183" t="e">
        <f t="shared" si="12"/>
        <v>#N/A</v>
      </c>
      <c r="R67" s="32">
        <v>37</v>
      </c>
      <c r="S67" s="31" t="e">
        <f t="shared" si="13"/>
        <v>#N/A</v>
      </c>
      <c r="T67" s="177" t="e">
        <f>IF(S67="","",VLOOKUP(S67,'Database Lab+Equip'!$G:$I,3,FALSE))</f>
        <v>#N/A</v>
      </c>
      <c r="U67" s="177" t="e">
        <f>IF(S67="","",(SUMIF('Installation 1'!B:B,'Budget-Labour Equipment'!S67,'Installation 1'!I:I)+SUMIF('Subcontract 2'!B:B,'Budget-Labour Equipment'!S67,'Subcontract 2'!I:I)+SUMIF('Optional-3'!B:B,'Budget-Labour Equipment'!S67,'Optional-3'!I:I)+SUMIF('Mob-Demob'!B:B,'Budget-Labour Equipment'!S67,'Mob-Demob'!I:I)+SUMIF(Prelims!B:B,'Budget-Labour Equipment'!S67,Prelims!I:I)))</f>
        <v>#N/A</v>
      </c>
      <c r="V67" s="178" t="e">
        <f t="shared" si="14"/>
        <v>#N/A</v>
      </c>
    </row>
    <row r="68" spans="1:22" x14ac:dyDescent="0.3">
      <c r="A68" s="57" t="e">
        <f>IF('Database Lab+Equip'!#REF!="","Equip. Resource",'Database Lab+Equip'!#REF!)</f>
        <v>#REF!</v>
      </c>
      <c r="B68" s="181" t="e">
        <f>IF(A68="Equip. Resource",0,VLOOKUP(A68,'Database Lab+Equip'!G:I,3,FALSE))</f>
        <v>#REF!</v>
      </c>
      <c r="C68" s="181">
        <f>IF(SUMIF('Installation 1'!B:B,'Budget-Labour Equipment'!A68,'Installation 1'!I:I)+SUMIF('Subcontract 2'!B:B,'Budget-Labour Equipment'!A68,'Subcontract 2'!I:I)+SUMIF('Optional-3'!B:B,'Budget-Labour Equipment'!A68,'Optional-3'!I:I)+SUMIF('Mob-Demob'!B:B,'Budget-Labour Equipment'!A68,'Mob-Demob'!I:I)+SUMIF(Prelims!B:B,'Budget-Labour Equipment'!A68,Prelims!I:I)=0,0,(SUMIF('Installation 1'!B:B,'Budget-Labour Equipment'!A68,'Installation 1'!I:I)+SUMIF('Subcontract 2'!B:B,'Budget-Labour Equipment'!A68,'Subcontract 2'!I:I)+SUMIF('Optional-3'!B:B,'Budget-Labour Equipment'!A68,'Optional-3'!I:I)+SUMIF('Mob-Demob'!B:B,'Budget-Labour Equipment'!A68,'Mob-Demob'!I:I)+SUMIF(Prelims!B:B,'Budget-Labour Equipment'!A68,Prelims!I:I)))</f>
        <v>0</v>
      </c>
      <c r="D68" s="182" t="e">
        <f t="shared" si="8"/>
        <v>#REF!</v>
      </c>
      <c r="E68" s="183" t="e">
        <f t="shared" si="9"/>
        <v>#REF!</v>
      </c>
      <c r="F68" s="183" t="e">
        <f t="shared" si="10"/>
        <v>#REF!</v>
      </c>
      <c r="H68" s="183" t="e">
        <f t="shared" si="11"/>
        <v>#N/A</v>
      </c>
      <c r="J68" s="183">
        <v>38</v>
      </c>
      <c r="K68" s="184" t="e">
        <f t="shared" si="15"/>
        <v>#N/A</v>
      </c>
      <c r="L68" s="185" t="e">
        <f>IF(K68="","",VLOOKUP(K68,'Database Lab+Equip'!$G:$I,3,FALSE))</f>
        <v>#N/A</v>
      </c>
      <c r="M68" s="185" t="e">
        <f>IF(K68="","",SUMIF('Installation 1'!B:B,'Budget-Labour Equipment'!K68,'Installation 1'!I:I)+SUMIF('Subcontract 2'!B:B,'Budget-Labour Equipment'!K68,'Subcontract 2'!I:I)+SUMIF('Optional-3'!B:B,'Budget-Labour Equipment'!K68,'Optional-3'!I:I)+SUMIF('Mob-Demob'!B:B,'Budget-Labour Equipment'!K68,'Mob-Demob'!I:I))</f>
        <v>#N/A</v>
      </c>
      <c r="N68" s="186" t="e">
        <f>IF(K68="","",RANK(L68,$L$31:$L$135)+COUNTIF($L$31:L68,L68)-1)</f>
        <v>#N/A</v>
      </c>
      <c r="P68" s="183" t="e">
        <f t="shared" si="12"/>
        <v>#N/A</v>
      </c>
      <c r="R68" s="32">
        <v>38</v>
      </c>
      <c r="S68" s="31" t="e">
        <f t="shared" si="13"/>
        <v>#N/A</v>
      </c>
      <c r="T68" s="177" t="e">
        <f>IF(S68="","",VLOOKUP(S68,'Database Lab+Equip'!$G:$I,3,FALSE))</f>
        <v>#N/A</v>
      </c>
      <c r="U68" s="177" t="e">
        <f>IF(S68="","",(SUMIF('Installation 1'!B:B,'Budget-Labour Equipment'!S68,'Installation 1'!I:I)+SUMIF('Subcontract 2'!B:B,'Budget-Labour Equipment'!S68,'Subcontract 2'!I:I)+SUMIF('Optional-3'!B:B,'Budget-Labour Equipment'!S68,'Optional-3'!I:I)+SUMIF('Mob-Demob'!B:B,'Budget-Labour Equipment'!S68,'Mob-Demob'!I:I)+SUMIF(Prelims!B:B,'Budget-Labour Equipment'!S68,Prelims!I:I)))</f>
        <v>#N/A</v>
      </c>
      <c r="V68" s="178" t="e">
        <f t="shared" si="14"/>
        <v>#N/A</v>
      </c>
    </row>
    <row r="69" spans="1:22" x14ac:dyDescent="0.3">
      <c r="A69" s="57" t="e">
        <f>IF('Database Lab+Equip'!#REF!="","Equip. Resource",'Database Lab+Equip'!#REF!)</f>
        <v>#REF!</v>
      </c>
      <c r="B69" s="181" t="e">
        <f>IF(A69="Equip. Resource",0,VLOOKUP(A69,'Database Lab+Equip'!G:I,3,FALSE))</f>
        <v>#REF!</v>
      </c>
      <c r="C69" s="181">
        <f>IF(SUMIF('Installation 1'!B:B,'Budget-Labour Equipment'!A69,'Installation 1'!I:I)+SUMIF('Subcontract 2'!B:B,'Budget-Labour Equipment'!A69,'Subcontract 2'!I:I)+SUMIF('Optional-3'!B:B,'Budget-Labour Equipment'!A69,'Optional-3'!I:I)+SUMIF('Mob-Demob'!B:B,'Budget-Labour Equipment'!A69,'Mob-Demob'!I:I)+SUMIF(Prelims!B:B,'Budget-Labour Equipment'!A69,Prelims!I:I)=0,0,(SUMIF('Installation 1'!B:B,'Budget-Labour Equipment'!A69,'Installation 1'!I:I)+SUMIF('Subcontract 2'!B:B,'Budget-Labour Equipment'!A69,'Subcontract 2'!I:I)+SUMIF('Optional-3'!B:B,'Budget-Labour Equipment'!A69,'Optional-3'!I:I)+SUMIF('Mob-Demob'!B:B,'Budget-Labour Equipment'!A69,'Mob-Demob'!I:I)+SUMIF(Prelims!B:B,'Budget-Labour Equipment'!A69,Prelims!I:I)))</f>
        <v>0</v>
      </c>
      <c r="D69" s="182" t="e">
        <f t="shared" si="8"/>
        <v>#REF!</v>
      </c>
      <c r="E69" s="183" t="e">
        <f t="shared" si="9"/>
        <v>#REF!</v>
      </c>
      <c r="F69" s="183" t="e">
        <f t="shared" si="10"/>
        <v>#REF!</v>
      </c>
      <c r="H69" s="183" t="e">
        <f t="shared" si="11"/>
        <v>#N/A</v>
      </c>
      <c r="J69" s="183">
        <v>39</v>
      </c>
      <c r="K69" s="184" t="e">
        <f t="shared" si="15"/>
        <v>#N/A</v>
      </c>
      <c r="L69" s="185" t="e">
        <f>IF(K69="","",VLOOKUP(K69,'Database Lab+Equip'!$G:$I,3,FALSE))</f>
        <v>#N/A</v>
      </c>
      <c r="M69" s="185" t="e">
        <f>IF(K69="","",SUMIF('Installation 1'!B:B,'Budget-Labour Equipment'!K69,'Installation 1'!I:I)+SUMIF('Subcontract 2'!B:B,'Budget-Labour Equipment'!K69,'Subcontract 2'!I:I)+SUMIF('Optional-3'!B:B,'Budget-Labour Equipment'!K69,'Optional-3'!I:I)+SUMIF('Mob-Demob'!B:B,'Budget-Labour Equipment'!K69,'Mob-Demob'!I:I))</f>
        <v>#N/A</v>
      </c>
      <c r="N69" s="186" t="e">
        <f>IF(K69="","",RANK(L69,$L$31:$L$135)+COUNTIF($L$31:L69,L69)-1)</f>
        <v>#N/A</v>
      </c>
      <c r="P69" s="183" t="e">
        <f t="shared" si="12"/>
        <v>#N/A</v>
      </c>
      <c r="R69" s="32">
        <v>39</v>
      </c>
      <c r="S69" s="31" t="e">
        <f t="shared" si="13"/>
        <v>#N/A</v>
      </c>
      <c r="T69" s="177" t="e">
        <f>IF(S69="","",VLOOKUP(S69,'Database Lab+Equip'!$G:$I,3,FALSE))</f>
        <v>#N/A</v>
      </c>
      <c r="U69" s="177" t="e">
        <f>IF(S69="","",(SUMIF('Installation 1'!B:B,'Budget-Labour Equipment'!S69,'Installation 1'!I:I)+SUMIF('Subcontract 2'!B:B,'Budget-Labour Equipment'!S69,'Subcontract 2'!I:I)+SUMIF('Optional-3'!B:B,'Budget-Labour Equipment'!S69,'Optional-3'!I:I)+SUMIF('Mob-Demob'!B:B,'Budget-Labour Equipment'!S69,'Mob-Demob'!I:I)+SUMIF(Prelims!B:B,'Budget-Labour Equipment'!S69,Prelims!I:I)))</f>
        <v>#N/A</v>
      </c>
      <c r="V69" s="178" t="e">
        <f t="shared" si="14"/>
        <v>#N/A</v>
      </c>
    </row>
    <row r="70" spans="1:22" x14ac:dyDescent="0.3">
      <c r="A70" s="57" t="e">
        <f>IF('Database Lab+Equip'!#REF!="","Equip. Resource",'Database Lab+Equip'!#REF!)</f>
        <v>#REF!</v>
      </c>
      <c r="B70" s="181" t="e">
        <f>IF(A70="Equip. Resource",0,VLOOKUP(A70,'Database Lab+Equip'!G:I,3,FALSE))</f>
        <v>#REF!</v>
      </c>
      <c r="C70" s="181">
        <f>IF(SUMIF('Installation 1'!B:B,'Budget-Labour Equipment'!A70,'Installation 1'!I:I)+SUMIF('Subcontract 2'!B:B,'Budget-Labour Equipment'!A70,'Subcontract 2'!I:I)+SUMIF('Optional-3'!B:B,'Budget-Labour Equipment'!A70,'Optional-3'!I:I)+SUMIF('Mob-Demob'!B:B,'Budget-Labour Equipment'!A70,'Mob-Demob'!I:I)+SUMIF(Prelims!B:B,'Budget-Labour Equipment'!A70,Prelims!I:I)=0,0,(SUMIF('Installation 1'!B:B,'Budget-Labour Equipment'!A70,'Installation 1'!I:I)+SUMIF('Subcontract 2'!B:B,'Budget-Labour Equipment'!A70,'Subcontract 2'!I:I)+SUMIF('Optional-3'!B:B,'Budget-Labour Equipment'!A70,'Optional-3'!I:I)+SUMIF('Mob-Demob'!B:B,'Budget-Labour Equipment'!A70,'Mob-Demob'!I:I)+SUMIF(Prelims!B:B,'Budget-Labour Equipment'!A70,Prelims!I:I)))</f>
        <v>0</v>
      </c>
      <c r="D70" s="182" t="e">
        <f t="shared" si="8"/>
        <v>#REF!</v>
      </c>
      <c r="E70" s="183" t="e">
        <f t="shared" si="9"/>
        <v>#REF!</v>
      </c>
      <c r="F70" s="183" t="e">
        <f t="shared" si="10"/>
        <v>#REF!</v>
      </c>
      <c r="H70" s="183" t="e">
        <f t="shared" si="11"/>
        <v>#N/A</v>
      </c>
      <c r="J70" s="183">
        <v>40</v>
      </c>
      <c r="K70" s="184" t="e">
        <f t="shared" si="15"/>
        <v>#N/A</v>
      </c>
      <c r="L70" s="185" t="e">
        <f>IF(K70="","",VLOOKUP(K70,'Database Lab+Equip'!$G:$I,3,FALSE))</f>
        <v>#N/A</v>
      </c>
      <c r="M70" s="185" t="e">
        <f>IF(K70="","",SUMIF('Installation 1'!B:B,'Budget-Labour Equipment'!K70,'Installation 1'!I:I)+SUMIF('Subcontract 2'!B:B,'Budget-Labour Equipment'!K70,'Subcontract 2'!I:I)+SUMIF('Optional-3'!B:B,'Budget-Labour Equipment'!K70,'Optional-3'!I:I)+SUMIF('Mob-Demob'!B:B,'Budget-Labour Equipment'!K70,'Mob-Demob'!I:I))</f>
        <v>#N/A</v>
      </c>
      <c r="N70" s="186" t="e">
        <f>IF(K70="","",RANK(L70,$L$31:$L$135)+COUNTIF($L$31:L70,L70)-1)</f>
        <v>#N/A</v>
      </c>
      <c r="P70" s="183" t="e">
        <f t="shared" si="12"/>
        <v>#N/A</v>
      </c>
      <c r="R70" s="32">
        <v>40</v>
      </c>
      <c r="S70" s="31" t="e">
        <f t="shared" si="13"/>
        <v>#N/A</v>
      </c>
      <c r="T70" s="177" t="e">
        <f>IF(S70="","",VLOOKUP(S70,'Database Lab+Equip'!$G:$I,3,FALSE))</f>
        <v>#N/A</v>
      </c>
      <c r="U70" s="177" t="e">
        <f>IF(S70="","",(SUMIF('Installation 1'!B:B,'Budget-Labour Equipment'!S70,'Installation 1'!I:I)+SUMIF('Subcontract 2'!B:B,'Budget-Labour Equipment'!S70,'Subcontract 2'!I:I)+SUMIF('Optional-3'!B:B,'Budget-Labour Equipment'!S70,'Optional-3'!I:I)+SUMIF('Mob-Demob'!B:B,'Budget-Labour Equipment'!S70,'Mob-Demob'!I:I)+SUMIF(Prelims!B:B,'Budget-Labour Equipment'!S70,Prelims!I:I)))</f>
        <v>#N/A</v>
      </c>
      <c r="V70" s="178" t="e">
        <f t="shared" si="14"/>
        <v>#N/A</v>
      </c>
    </row>
    <row r="71" spans="1:22" x14ac:dyDescent="0.3">
      <c r="A71" s="57" t="e">
        <f>IF('Database Lab+Equip'!#REF!="","Equip. Resource",'Database Lab+Equip'!#REF!)</f>
        <v>#REF!</v>
      </c>
      <c r="B71" s="181" t="e">
        <f>IF(A71="Equip. Resource",0,VLOOKUP(A71,'Database Lab+Equip'!G:I,3,FALSE))</f>
        <v>#REF!</v>
      </c>
      <c r="C71" s="181">
        <f>IF(SUMIF('Installation 1'!B:B,'Budget-Labour Equipment'!A71,'Installation 1'!I:I)+SUMIF('Subcontract 2'!B:B,'Budget-Labour Equipment'!A71,'Subcontract 2'!I:I)+SUMIF('Optional-3'!B:B,'Budget-Labour Equipment'!A71,'Optional-3'!I:I)+SUMIF('Mob-Demob'!B:B,'Budget-Labour Equipment'!A71,'Mob-Demob'!I:I)+SUMIF(Prelims!B:B,'Budget-Labour Equipment'!A71,Prelims!I:I)=0,0,(SUMIF('Installation 1'!B:B,'Budget-Labour Equipment'!A71,'Installation 1'!I:I)+SUMIF('Subcontract 2'!B:B,'Budget-Labour Equipment'!A71,'Subcontract 2'!I:I)+SUMIF('Optional-3'!B:B,'Budget-Labour Equipment'!A71,'Optional-3'!I:I)+SUMIF('Mob-Demob'!B:B,'Budget-Labour Equipment'!A71,'Mob-Demob'!I:I)+SUMIF(Prelims!B:B,'Budget-Labour Equipment'!A71,Prelims!I:I)))</f>
        <v>0</v>
      </c>
      <c r="D71" s="182" t="e">
        <f t="shared" si="8"/>
        <v>#REF!</v>
      </c>
      <c r="E71" s="183" t="e">
        <f t="shared" si="9"/>
        <v>#REF!</v>
      </c>
      <c r="F71" s="183" t="e">
        <f t="shared" si="10"/>
        <v>#REF!</v>
      </c>
      <c r="H71" s="183" t="e">
        <f t="shared" si="11"/>
        <v>#N/A</v>
      </c>
      <c r="J71" s="183">
        <v>41</v>
      </c>
      <c r="K71" s="184" t="e">
        <f t="shared" si="15"/>
        <v>#N/A</v>
      </c>
      <c r="L71" s="185" t="e">
        <f>IF(K71="","",VLOOKUP(K71,'Database Lab+Equip'!$G:$I,3,FALSE))</f>
        <v>#N/A</v>
      </c>
      <c r="M71" s="185" t="e">
        <f>IF(K71="","",SUMIF('Installation 1'!B:B,'Budget-Labour Equipment'!K71,'Installation 1'!I:I)+SUMIF('Subcontract 2'!B:B,'Budget-Labour Equipment'!K71,'Subcontract 2'!I:I)+SUMIF('Optional-3'!B:B,'Budget-Labour Equipment'!K71,'Optional-3'!I:I)+SUMIF('Mob-Demob'!B:B,'Budget-Labour Equipment'!K71,'Mob-Demob'!I:I))</f>
        <v>#N/A</v>
      </c>
      <c r="N71" s="186" t="e">
        <f>IF(K71="","",RANK(L71,$L$31:$L$135)+COUNTIF($L$31:L71,L71)-1)</f>
        <v>#N/A</v>
      </c>
      <c r="P71" s="183" t="e">
        <f t="shared" si="12"/>
        <v>#N/A</v>
      </c>
      <c r="R71" s="32">
        <v>41</v>
      </c>
      <c r="S71" s="31" t="e">
        <f t="shared" si="13"/>
        <v>#N/A</v>
      </c>
      <c r="T71" s="177" t="e">
        <f>IF(S71="","",VLOOKUP(S71,'Database Lab+Equip'!$G:$I,3,FALSE))</f>
        <v>#N/A</v>
      </c>
      <c r="U71" s="177" t="e">
        <f>IF(S71="","",(SUMIF('Installation 1'!B:B,'Budget-Labour Equipment'!S71,'Installation 1'!I:I)+SUMIF('Subcontract 2'!B:B,'Budget-Labour Equipment'!S71,'Subcontract 2'!I:I)+SUMIF('Optional-3'!B:B,'Budget-Labour Equipment'!S71,'Optional-3'!I:I)+SUMIF('Mob-Demob'!B:B,'Budget-Labour Equipment'!S71,'Mob-Demob'!I:I)+SUMIF(Prelims!B:B,'Budget-Labour Equipment'!S71,Prelims!I:I)))</f>
        <v>#N/A</v>
      </c>
      <c r="V71" s="178" t="e">
        <f t="shared" si="14"/>
        <v>#N/A</v>
      </c>
    </row>
    <row r="72" spans="1:22" x14ac:dyDescent="0.3">
      <c r="A72" s="57" t="e">
        <f>IF('Database Lab+Equip'!#REF!="","Equip. Resource",'Database Lab+Equip'!#REF!)</f>
        <v>#REF!</v>
      </c>
      <c r="B72" s="181" t="e">
        <f>IF(A72="Equip. Resource",0,VLOOKUP(A72,'Database Lab+Equip'!G:I,3,FALSE))</f>
        <v>#REF!</v>
      </c>
      <c r="C72" s="181">
        <f>IF(SUMIF('Installation 1'!B:B,'Budget-Labour Equipment'!A72,'Installation 1'!I:I)+SUMIF('Subcontract 2'!B:B,'Budget-Labour Equipment'!A72,'Subcontract 2'!I:I)+SUMIF('Optional-3'!B:B,'Budget-Labour Equipment'!A72,'Optional-3'!I:I)+SUMIF('Mob-Demob'!B:B,'Budget-Labour Equipment'!A72,'Mob-Demob'!I:I)+SUMIF(Prelims!B:B,'Budget-Labour Equipment'!A72,Prelims!I:I)=0,0,(SUMIF('Installation 1'!B:B,'Budget-Labour Equipment'!A72,'Installation 1'!I:I)+SUMIF('Subcontract 2'!B:B,'Budget-Labour Equipment'!A72,'Subcontract 2'!I:I)+SUMIF('Optional-3'!B:B,'Budget-Labour Equipment'!A72,'Optional-3'!I:I)+SUMIF('Mob-Demob'!B:B,'Budget-Labour Equipment'!A72,'Mob-Demob'!I:I)+SUMIF(Prelims!B:B,'Budget-Labour Equipment'!A72,Prelims!I:I)))</f>
        <v>0</v>
      </c>
      <c r="D72" s="182" t="e">
        <f t="shared" si="8"/>
        <v>#REF!</v>
      </c>
      <c r="E72" s="183" t="e">
        <f t="shared" si="9"/>
        <v>#REF!</v>
      </c>
      <c r="F72" s="183" t="e">
        <f t="shared" si="10"/>
        <v>#REF!</v>
      </c>
      <c r="H72" s="183" t="e">
        <f t="shared" si="11"/>
        <v>#N/A</v>
      </c>
      <c r="J72" s="183">
        <v>42</v>
      </c>
      <c r="K72" s="184" t="e">
        <f t="shared" si="15"/>
        <v>#N/A</v>
      </c>
      <c r="L72" s="185" t="e">
        <f>IF(K72="","",VLOOKUP(K72,'Database Lab+Equip'!$G:$I,3,FALSE))</f>
        <v>#N/A</v>
      </c>
      <c r="M72" s="185" t="e">
        <f>IF(K72="","",SUMIF('Installation 1'!B:B,'Budget-Labour Equipment'!K72,'Installation 1'!I:I)+SUMIF('Subcontract 2'!B:B,'Budget-Labour Equipment'!K72,'Subcontract 2'!I:I)+SUMIF('Optional-3'!B:B,'Budget-Labour Equipment'!K72,'Optional-3'!I:I)+SUMIF('Mob-Demob'!B:B,'Budget-Labour Equipment'!K72,'Mob-Demob'!I:I))</f>
        <v>#N/A</v>
      </c>
      <c r="N72" s="186" t="e">
        <f>IF(K72="","",RANK(L72,$L$31:$L$135)+COUNTIF($L$31:L72,L72)-1)</f>
        <v>#N/A</v>
      </c>
      <c r="P72" s="183" t="e">
        <f t="shared" si="12"/>
        <v>#N/A</v>
      </c>
      <c r="R72" s="32">
        <v>42</v>
      </c>
      <c r="S72" s="31" t="e">
        <f t="shared" si="13"/>
        <v>#N/A</v>
      </c>
      <c r="T72" s="177" t="e">
        <f>IF(S72="","",VLOOKUP(S72,'Database Lab+Equip'!$G:$I,3,FALSE))</f>
        <v>#N/A</v>
      </c>
      <c r="U72" s="177" t="e">
        <f>IF(S72="","",(SUMIF('Installation 1'!B:B,'Budget-Labour Equipment'!S72,'Installation 1'!I:I)+SUMIF('Subcontract 2'!B:B,'Budget-Labour Equipment'!S72,'Subcontract 2'!I:I)+SUMIF('Optional-3'!B:B,'Budget-Labour Equipment'!S72,'Optional-3'!I:I)+SUMIF('Mob-Demob'!B:B,'Budget-Labour Equipment'!S72,'Mob-Demob'!I:I)+SUMIF(Prelims!B:B,'Budget-Labour Equipment'!S72,Prelims!I:I)))</f>
        <v>#N/A</v>
      </c>
      <c r="V72" s="178" t="e">
        <f t="shared" si="14"/>
        <v>#N/A</v>
      </c>
    </row>
    <row r="73" spans="1:22" x14ac:dyDescent="0.3">
      <c r="A73" s="57" t="e">
        <f>IF('Database Lab+Equip'!#REF!="","Equip. Resource",'Database Lab+Equip'!#REF!)</f>
        <v>#REF!</v>
      </c>
      <c r="B73" s="181" t="e">
        <f>IF(A73="Equip. Resource",0,VLOOKUP(A73,'Database Lab+Equip'!G:I,3,FALSE))</f>
        <v>#REF!</v>
      </c>
      <c r="C73" s="181">
        <f>IF(SUMIF('Installation 1'!B:B,'Budget-Labour Equipment'!A73,'Installation 1'!I:I)+SUMIF('Subcontract 2'!B:B,'Budget-Labour Equipment'!A73,'Subcontract 2'!I:I)+SUMIF('Optional-3'!B:B,'Budget-Labour Equipment'!A73,'Optional-3'!I:I)+SUMIF('Mob-Demob'!B:B,'Budget-Labour Equipment'!A73,'Mob-Demob'!I:I)+SUMIF(Prelims!B:B,'Budget-Labour Equipment'!A73,Prelims!I:I)=0,0,(SUMIF('Installation 1'!B:B,'Budget-Labour Equipment'!A73,'Installation 1'!I:I)+SUMIF('Subcontract 2'!B:B,'Budget-Labour Equipment'!A73,'Subcontract 2'!I:I)+SUMIF('Optional-3'!B:B,'Budget-Labour Equipment'!A73,'Optional-3'!I:I)+SUMIF('Mob-Demob'!B:B,'Budget-Labour Equipment'!A73,'Mob-Demob'!I:I)+SUMIF(Prelims!B:B,'Budget-Labour Equipment'!A73,Prelims!I:I)))</f>
        <v>0</v>
      </c>
      <c r="D73" s="182" t="e">
        <f t="shared" si="8"/>
        <v>#REF!</v>
      </c>
      <c r="E73" s="183" t="e">
        <f t="shared" si="9"/>
        <v>#REF!</v>
      </c>
      <c r="F73" s="183" t="e">
        <f t="shared" si="10"/>
        <v>#REF!</v>
      </c>
      <c r="H73" s="183" t="e">
        <f t="shared" si="11"/>
        <v>#N/A</v>
      </c>
      <c r="J73" s="183">
        <v>43</v>
      </c>
      <c r="K73" s="184" t="e">
        <f t="shared" si="15"/>
        <v>#N/A</v>
      </c>
      <c r="L73" s="185" t="e">
        <f>IF(K73="","",VLOOKUP(K73,'Database Lab+Equip'!$G:$I,3,FALSE))</f>
        <v>#N/A</v>
      </c>
      <c r="M73" s="185" t="e">
        <f>IF(K73="","",SUMIF('Installation 1'!B:B,'Budget-Labour Equipment'!K73,'Installation 1'!I:I)+SUMIF('Subcontract 2'!B:B,'Budget-Labour Equipment'!K73,'Subcontract 2'!I:I)+SUMIF('Optional-3'!B:B,'Budget-Labour Equipment'!K73,'Optional-3'!I:I)+SUMIF('Mob-Demob'!B:B,'Budget-Labour Equipment'!K73,'Mob-Demob'!I:I))</f>
        <v>#N/A</v>
      </c>
      <c r="N73" s="186" t="e">
        <f>IF(K73="","",RANK(L73,$L$31:$L$135)+COUNTIF($L$31:L73,L73)-1)</f>
        <v>#N/A</v>
      </c>
      <c r="P73" s="183" t="e">
        <f t="shared" si="12"/>
        <v>#N/A</v>
      </c>
      <c r="R73" s="32">
        <v>43</v>
      </c>
      <c r="S73" s="31" t="e">
        <f t="shared" si="13"/>
        <v>#N/A</v>
      </c>
      <c r="T73" s="177" t="e">
        <f>IF(S73="","",VLOOKUP(S73,'Database Lab+Equip'!$G:$I,3,FALSE))</f>
        <v>#N/A</v>
      </c>
      <c r="U73" s="177" t="e">
        <f>IF(S73="","",(SUMIF('Installation 1'!B:B,'Budget-Labour Equipment'!S73,'Installation 1'!I:I)+SUMIF('Subcontract 2'!B:B,'Budget-Labour Equipment'!S73,'Subcontract 2'!I:I)+SUMIF('Optional-3'!B:B,'Budget-Labour Equipment'!S73,'Optional-3'!I:I)+SUMIF('Mob-Demob'!B:B,'Budget-Labour Equipment'!S73,'Mob-Demob'!I:I)+SUMIF(Prelims!B:B,'Budget-Labour Equipment'!S73,Prelims!I:I)))</f>
        <v>#N/A</v>
      </c>
      <c r="V73" s="178" t="e">
        <f t="shared" si="14"/>
        <v>#N/A</v>
      </c>
    </row>
    <row r="74" spans="1:22" x14ac:dyDescent="0.3">
      <c r="A74" s="57" t="e">
        <f>IF('Database Lab+Equip'!#REF!="","Equip. Resource",'Database Lab+Equip'!#REF!)</f>
        <v>#REF!</v>
      </c>
      <c r="B74" s="181" t="e">
        <f>IF(A74="Equip. Resource",0,VLOOKUP(A74,'Database Lab+Equip'!G:I,3,FALSE))</f>
        <v>#REF!</v>
      </c>
      <c r="C74" s="181">
        <f>IF(SUMIF('Installation 1'!B:B,'Budget-Labour Equipment'!A74,'Installation 1'!I:I)+SUMIF('Subcontract 2'!B:B,'Budget-Labour Equipment'!A74,'Subcontract 2'!I:I)+SUMIF('Optional-3'!B:B,'Budget-Labour Equipment'!A74,'Optional-3'!I:I)+SUMIF('Mob-Demob'!B:B,'Budget-Labour Equipment'!A74,'Mob-Demob'!I:I)+SUMIF(Prelims!B:B,'Budget-Labour Equipment'!A74,Prelims!I:I)=0,0,(SUMIF('Installation 1'!B:B,'Budget-Labour Equipment'!A74,'Installation 1'!I:I)+SUMIF('Subcontract 2'!B:B,'Budget-Labour Equipment'!A74,'Subcontract 2'!I:I)+SUMIF('Optional-3'!B:B,'Budget-Labour Equipment'!A74,'Optional-3'!I:I)+SUMIF('Mob-Demob'!B:B,'Budget-Labour Equipment'!A74,'Mob-Demob'!I:I)+SUMIF(Prelims!B:B,'Budget-Labour Equipment'!A74,Prelims!I:I)))</f>
        <v>0</v>
      </c>
      <c r="D74" s="182" t="e">
        <f t="shared" si="8"/>
        <v>#REF!</v>
      </c>
      <c r="E74" s="183" t="e">
        <f t="shared" si="9"/>
        <v>#REF!</v>
      </c>
      <c r="F74" s="183" t="e">
        <f t="shared" si="10"/>
        <v>#REF!</v>
      </c>
      <c r="H74" s="183" t="e">
        <f t="shared" si="11"/>
        <v>#N/A</v>
      </c>
      <c r="J74" s="183">
        <v>44</v>
      </c>
      <c r="K74" s="184" t="e">
        <f t="shared" si="15"/>
        <v>#N/A</v>
      </c>
      <c r="L74" s="185" t="e">
        <f>IF(K74="","",VLOOKUP(K74,'Database Lab+Equip'!$G:$I,3,FALSE))</f>
        <v>#N/A</v>
      </c>
      <c r="M74" s="185" t="e">
        <f>IF(K74="","",SUMIF('Installation 1'!B:B,'Budget-Labour Equipment'!K74,'Installation 1'!I:I)+SUMIF('Subcontract 2'!B:B,'Budget-Labour Equipment'!K74,'Subcontract 2'!I:I)+SUMIF('Optional-3'!B:B,'Budget-Labour Equipment'!K74,'Optional-3'!I:I)+SUMIF('Mob-Demob'!B:B,'Budget-Labour Equipment'!K74,'Mob-Demob'!I:I))</f>
        <v>#N/A</v>
      </c>
      <c r="N74" s="186" t="e">
        <f>IF(K74="","",RANK(L74,$L$31:$L$135)+COUNTIF($L$31:L74,L74)-1)</f>
        <v>#N/A</v>
      </c>
      <c r="P74" s="183" t="e">
        <f t="shared" si="12"/>
        <v>#N/A</v>
      </c>
      <c r="R74" s="32">
        <v>44</v>
      </c>
      <c r="S74" s="31" t="e">
        <f t="shared" si="13"/>
        <v>#N/A</v>
      </c>
      <c r="T74" s="177" t="e">
        <f>IF(S74="","",VLOOKUP(S74,'Database Lab+Equip'!$G:$I,3,FALSE))</f>
        <v>#N/A</v>
      </c>
      <c r="U74" s="177" t="e">
        <f>IF(S74="","",(SUMIF('Installation 1'!B:B,'Budget-Labour Equipment'!S74,'Installation 1'!I:I)+SUMIF('Subcontract 2'!B:B,'Budget-Labour Equipment'!S74,'Subcontract 2'!I:I)+SUMIF('Optional-3'!B:B,'Budget-Labour Equipment'!S74,'Optional-3'!I:I)+SUMIF('Mob-Demob'!B:B,'Budget-Labour Equipment'!S74,'Mob-Demob'!I:I)+SUMIF(Prelims!B:B,'Budget-Labour Equipment'!S74,Prelims!I:I)))</f>
        <v>#N/A</v>
      </c>
      <c r="V74" s="178" t="e">
        <f t="shared" si="14"/>
        <v>#N/A</v>
      </c>
    </row>
    <row r="75" spans="1:22" x14ac:dyDescent="0.3">
      <c r="A75" s="57" t="e">
        <f>IF('Database Lab+Equip'!#REF!="","Equip. Resource",'Database Lab+Equip'!#REF!)</f>
        <v>#REF!</v>
      </c>
      <c r="B75" s="181" t="e">
        <f>IF(A75="Equip. Resource",0,VLOOKUP(A75,'Database Lab+Equip'!G:I,3,FALSE))</f>
        <v>#REF!</v>
      </c>
      <c r="C75" s="181">
        <f>IF(SUMIF('Installation 1'!B:B,'Budget-Labour Equipment'!A75,'Installation 1'!I:I)+SUMIF('Subcontract 2'!B:B,'Budget-Labour Equipment'!A75,'Subcontract 2'!I:I)+SUMIF('Optional-3'!B:B,'Budget-Labour Equipment'!A75,'Optional-3'!I:I)+SUMIF('Mob-Demob'!B:B,'Budget-Labour Equipment'!A75,'Mob-Demob'!I:I)+SUMIF(Prelims!B:B,'Budget-Labour Equipment'!A75,Prelims!I:I)=0,0,(SUMIF('Installation 1'!B:B,'Budget-Labour Equipment'!A75,'Installation 1'!I:I)+SUMIF('Subcontract 2'!B:B,'Budget-Labour Equipment'!A75,'Subcontract 2'!I:I)+SUMIF('Optional-3'!B:B,'Budget-Labour Equipment'!A75,'Optional-3'!I:I)+SUMIF('Mob-Demob'!B:B,'Budget-Labour Equipment'!A75,'Mob-Demob'!I:I)+SUMIF(Prelims!B:B,'Budget-Labour Equipment'!A75,Prelims!I:I)))</f>
        <v>0</v>
      </c>
      <c r="D75" s="182" t="e">
        <f t="shared" si="8"/>
        <v>#REF!</v>
      </c>
      <c r="E75" s="183" t="e">
        <f t="shared" si="9"/>
        <v>#REF!</v>
      </c>
      <c r="F75" s="183" t="e">
        <f t="shared" si="10"/>
        <v>#REF!</v>
      </c>
      <c r="H75" s="183" t="e">
        <f t="shared" si="11"/>
        <v>#N/A</v>
      </c>
      <c r="J75" s="183">
        <v>45</v>
      </c>
      <c r="K75" s="184" t="e">
        <f t="shared" si="15"/>
        <v>#N/A</v>
      </c>
      <c r="L75" s="185" t="e">
        <f>IF(K75="","",VLOOKUP(K75,'Database Lab+Equip'!$G:$I,3,FALSE))</f>
        <v>#N/A</v>
      </c>
      <c r="M75" s="185" t="e">
        <f>IF(K75="","",SUMIF('Installation 1'!B:B,'Budget-Labour Equipment'!K75,'Installation 1'!I:I)+SUMIF('Subcontract 2'!B:B,'Budget-Labour Equipment'!K75,'Subcontract 2'!I:I)+SUMIF('Optional-3'!B:B,'Budget-Labour Equipment'!K75,'Optional-3'!I:I)+SUMIF('Mob-Demob'!B:B,'Budget-Labour Equipment'!K75,'Mob-Demob'!I:I))</f>
        <v>#N/A</v>
      </c>
      <c r="N75" s="186" t="e">
        <f>IF(K75="","",RANK(L75,$L$31:$L$135)+COUNTIF($L$31:L75,L75)-1)</f>
        <v>#N/A</v>
      </c>
      <c r="P75" s="183" t="e">
        <f t="shared" si="12"/>
        <v>#N/A</v>
      </c>
      <c r="R75" s="32">
        <v>45</v>
      </c>
      <c r="S75" s="31" t="e">
        <f t="shared" si="13"/>
        <v>#N/A</v>
      </c>
      <c r="T75" s="177" t="e">
        <f>IF(S75="","",VLOOKUP(S75,'Database Lab+Equip'!$G:$I,3,FALSE))</f>
        <v>#N/A</v>
      </c>
      <c r="U75" s="177" t="e">
        <f>IF(S75="","",(SUMIF('Installation 1'!B:B,'Budget-Labour Equipment'!S75,'Installation 1'!I:I)+SUMIF('Subcontract 2'!B:B,'Budget-Labour Equipment'!S75,'Subcontract 2'!I:I)+SUMIF('Optional-3'!B:B,'Budget-Labour Equipment'!S75,'Optional-3'!I:I)+SUMIF('Mob-Demob'!B:B,'Budget-Labour Equipment'!S75,'Mob-Demob'!I:I)+SUMIF(Prelims!B:B,'Budget-Labour Equipment'!S75,Prelims!I:I)))</f>
        <v>#N/A</v>
      </c>
      <c r="V75" s="178" t="e">
        <f t="shared" si="14"/>
        <v>#N/A</v>
      </c>
    </row>
    <row r="76" spans="1:22" x14ac:dyDescent="0.3">
      <c r="A76" s="57" t="str">
        <f>IF('Database Lab+Equip'!G17="","Equip. Resource",'Database Lab+Equip'!G17)</f>
        <v>Light Vehicle km Rate for Travel</v>
      </c>
      <c r="B76" s="181">
        <f>IF(A76="Equip. Resource",0,VLOOKUP(A76,'Database Lab+Equip'!G:I,3,FALSE))</f>
        <v>2.7</v>
      </c>
      <c r="C76" s="181">
        <f>IF(SUMIF('Installation 1'!B:B,'Budget-Labour Equipment'!A76,'Installation 1'!I:I)+SUMIF('Subcontract 2'!B:B,'Budget-Labour Equipment'!A76,'Subcontract 2'!I:I)+SUMIF('Optional-3'!B:B,'Budget-Labour Equipment'!A76,'Optional-3'!I:I)+SUMIF('Mob-Demob'!B:B,'Budget-Labour Equipment'!A76,'Mob-Demob'!I:I)+SUMIF(Prelims!B:B,'Budget-Labour Equipment'!A76,Prelims!I:I)=0,0,(SUMIF('Installation 1'!B:B,'Budget-Labour Equipment'!A76,'Installation 1'!I:I)+SUMIF('Subcontract 2'!B:B,'Budget-Labour Equipment'!A76,'Subcontract 2'!I:I)+SUMIF('Optional-3'!B:B,'Budget-Labour Equipment'!A76,'Optional-3'!I:I)+SUMIF('Mob-Demob'!B:B,'Budget-Labour Equipment'!A76,'Mob-Demob'!I:I)+SUMIF(Prelims!B:B,'Budget-Labour Equipment'!A76,Prelims!I:I)))</f>
        <v>14492.520000000002</v>
      </c>
      <c r="D76" s="182">
        <f t="shared" si="8"/>
        <v>5367.6</v>
      </c>
      <c r="E76" s="183">
        <f t="shared" si="9"/>
        <v>5367.6000760000006</v>
      </c>
      <c r="F76" s="183" t="e">
        <f t="shared" si="10"/>
        <v>#REF!</v>
      </c>
      <c r="H76" s="183" t="e">
        <f t="shared" si="11"/>
        <v>#N/A</v>
      </c>
      <c r="J76" s="183">
        <v>46</v>
      </c>
      <c r="K76" s="184" t="e">
        <f t="shared" si="15"/>
        <v>#N/A</v>
      </c>
      <c r="L76" s="185" t="e">
        <f>IF(K76="","",VLOOKUP(K76,'Database Lab+Equip'!$G:$I,3,FALSE))</f>
        <v>#N/A</v>
      </c>
      <c r="M76" s="185" t="e">
        <f>IF(K76="","",SUMIF('Installation 1'!B:B,'Budget-Labour Equipment'!K76,'Installation 1'!I:I)+SUMIF('Subcontract 2'!B:B,'Budget-Labour Equipment'!K76,'Subcontract 2'!I:I)+SUMIF('Optional-3'!B:B,'Budget-Labour Equipment'!K76,'Optional-3'!I:I)+SUMIF('Mob-Demob'!B:B,'Budget-Labour Equipment'!K76,'Mob-Demob'!I:I))</f>
        <v>#N/A</v>
      </c>
      <c r="N76" s="186" t="e">
        <f>IF(K76="","",RANK(L76,$L$31:$L$135)+COUNTIF($L$31:L76,L76)-1)</f>
        <v>#N/A</v>
      </c>
      <c r="P76" s="183" t="e">
        <f t="shared" si="12"/>
        <v>#N/A</v>
      </c>
      <c r="R76" s="32">
        <v>46</v>
      </c>
      <c r="S76" s="31" t="e">
        <f t="shared" si="13"/>
        <v>#N/A</v>
      </c>
      <c r="T76" s="177" t="e">
        <f>IF(S76="","",VLOOKUP(S76,'Database Lab+Equip'!$G:$I,3,FALSE))</f>
        <v>#N/A</v>
      </c>
      <c r="U76" s="177" t="e">
        <f>IF(S76="","",(SUMIF('Installation 1'!B:B,'Budget-Labour Equipment'!S76,'Installation 1'!I:I)+SUMIF('Subcontract 2'!B:B,'Budget-Labour Equipment'!S76,'Subcontract 2'!I:I)+SUMIF('Optional-3'!B:B,'Budget-Labour Equipment'!S76,'Optional-3'!I:I)+SUMIF('Mob-Demob'!B:B,'Budget-Labour Equipment'!S76,'Mob-Demob'!I:I)+SUMIF(Prelims!B:B,'Budget-Labour Equipment'!S76,Prelims!I:I)))</f>
        <v>#N/A</v>
      </c>
      <c r="V76" s="178" t="e">
        <f t="shared" si="14"/>
        <v>#N/A</v>
      </c>
    </row>
    <row r="77" spans="1:22" x14ac:dyDescent="0.3">
      <c r="A77" s="57" t="str">
        <f>IF('Database Lab+Equip'!G18="","Equip. Resource",'Database Lab+Equip'!G18)</f>
        <v>Light 4WD Vehicle - D/Cab Ute</v>
      </c>
      <c r="B77" s="181">
        <f>IF(A77="Equip. Resource",0,VLOOKUP(A77,'Database Lab+Equip'!G:I,3,FALSE))</f>
        <v>216</v>
      </c>
      <c r="C77" s="181">
        <f>IF(SUMIF('Installation 1'!B:B,'Budget-Labour Equipment'!A77,'Installation 1'!I:I)+SUMIF('Subcontract 2'!B:B,'Budget-Labour Equipment'!A77,'Subcontract 2'!I:I)+SUMIF('Optional-3'!B:B,'Budget-Labour Equipment'!A77,'Optional-3'!I:I)+SUMIF('Mob-Demob'!B:B,'Budget-Labour Equipment'!A77,'Mob-Demob'!I:I)+SUMIF(Prelims!B:B,'Budget-Labour Equipment'!A77,Prelims!I:I)=0,0,(SUMIF('Installation 1'!B:B,'Budget-Labour Equipment'!A77,'Installation 1'!I:I)+SUMIF('Subcontract 2'!B:B,'Budget-Labour Equipment'!A77,'Subcontract 2'!I:I)+SUMIF('Optional-3'!B:B,'Budget-Labour Equipment'!A77,'Optional-3'!I:I)+SUMIF('Mob-Demob'!B:B,'Budget-Labour Equipment'!A77,'Mob-Demob'!I:I)+SUMIF(Prelims!B:B,'Budget-Labour Equipment'!A77,Prelims!I:I)))</f>
        <v>24494.399999999998</v>
      </c>
      <c r="D77" s="182">
        <f t="shared" si="8"/>
        <v>113.39999999999999</v>
      </c>
      <c r="E77" s="183">
        <f t="shared" si="9"/>
        <v>113.400077</v>
      </c>
      <c r="F77" s="183" t="e">
        <f t="shared" si="10"/>
        <v>#REF!</v>
      </c>
      <c r="H77" s="183" t="e">
        <f t="shared" si="11"/>
        <v>#N/A</v>
      </c>
      <c r="J77" s="183">
        <v>47</v>
      </c>
      <c r="K77" s="184" t="e">
        <f t="shared" si="15"/>
        <v>#N/A</v>
      </c>
      <c r="L77" s="185" t="e">
        <f>IF(K77="","",VLOOKUP(K77,'Database Lab+Equip'!$G:$I,3,FALSE))</f>
        <v>#N/A</v>
      </c>
      <c r="M77" s="185" t="e">
        <f>IF(K77="","",SUMIF('Installation 1'!B:B,'Budget-Labour Equipment'!K77,'Installation 1'!I:I)+SUMIF('Subcontract 2'!B:B,'Budget-Labour Equipment'!K77,'Subcontract 2'!I:I)+SUMIF('Optional-3'!B:B,'Budget-Labour Equipment'!K77,'Optional-3'!I:I)+SUMIF('Mob-Demob'!B:B,'Budget-Labour Equipment'!K77,'Mob-Demob'!I:I))</f>
        <v>#N/A</v>
      </c>
      <c r="N77" s="186" t="e">
        <f>IF(K77="","",RANK(L77,$L$31:$L$135)+COUNTIF($L$31:L77,L77)-1)</f>
        <v>#N/A</v>
      </c>
      <c r="P77" s="183" t="e">
        <f t="shared" si="12"/>
        <v>#N/A</v>
      </c>
      <c r="R77" s="32">
        <v>47</v>
      </c>
      <c r="S77" s="31" t="e">
        <f t="shared" si="13"/>
        <v>#N/A</v>
      </c>
      <c r="T77" s="177" t="e">
        <f>IF(S77="","",VLOOKUP(S77,'Database Lab+Equip'!$G:$I,3,FALSE))</f>
        <v>#N/A</v>
      </c>
      <c r="U77" s="177" t="e">
        <f>IF(S77="","",(SUMIF('Installation 1'!B:B,'Budget-Labour Equipment'!S77,'Installation 1'!I:I)+SUMIF('Subcontract 2'!B:B,'Budget-Labour Equipment'!S77,'Subcontract 2'!I:I)+SUMIF('Optional-3'!B:B,'Budget-Labour Equipment'!S77,'Optional-3'!I:I)+SUMIF('Mob-Demob'!B:B,'Budget-Labour Equipment'!S77,'Mob-Demob'!I:I)+SUMIF(Prelims!B:B,'Budget-Labour Equipment'!S77,Prelims!I:I)))</f>
        <v>#N/A</v>
      </c>
      <c r="V77" s="178" t="e">
        <f t="shared" si="14"/>
        <v>#N/A</v>
      </c>
    </row>
    <row r="78" spans="1:22" x14ac:dyDescent="0.3">
      <c r="A78" s="57" t="str">
        <f>IF('Database Lab+Equip'!G19="","Equip. Resource",'Database Lab+Equip'!G19)</f>
        <v xml:space="preserve">Light 4WD Vehicle - Landcruiser Ute </v>
      </c>
      <c r="B78" s="181">
        <f>IF(A78="Equip. Resource",0,VLOOKUP(A78,'Database Lab+Equip'!G:I,3,FALSE))</f>
        <v>216</v>
      </c>
      <c r="C78" s="181">
        <f>IF(SUMIF('Installation 1'!B:B,'Budget-Labour Equipment'!A78,'Installation 1'!I:I)+SUMIF('Subcontract 2'!B:B,'Budget-Labour Equipment'!A78,'Subcontract 2'!I:I)+SUMIF('Optional-3'!B:B,'Budget-Labour Equipment'!A78,'Optional-3'!I:I)+SUMIF('Mob-Demob'!B:B,'Budget-Labour Equipment'!A78,'Mob-Demob'!I:I)+SUMIF(Prelims!B:B,'Budget-Labour Equipment'!A78,Prelims!I:I)=0,0,(SUMIF('Installation 1'!B:B,'Budget-Labour Equipment'!A78,'Installation 1'!I:I)+SUMIF('Subcontract 2'!B:B,'Budget-Labour Equipment'!A78,'Subcontract 2'!I:I)+SUMIF('Optional-3'!B:B,'Budget-Labour Equipment'!A78,'Optional-3'!I:I)+SUMIF('Mob-Demob'!B:B,'Budget-Labour Equipment'!A78,'Mob-Demob'!I:I)+SUMIF(Prelims!B:B,'Budget-Labour Equipment'!A78,Prelims!I:I)))</f>
        <v>0</v>
      </c>
      <c r="D78" s="182">
        <f t="shared" si="8"/>
        <v>0</v>
      </c>
      <c r="E78" s="183">
        <f t="shared" si="9"/>
        <v>7.7999999999999999E-5</v>
      </c>
      <c r="F78" s="183" t="e">
        <f t="shared" si="10"/>
        <v>#REF!</v>
      </c>
      <c r="H78" s="183" t="e">
        <f t="shared" si="11"/>
        <v>#N/A</v>
      </c>
      <c r="J78" s="183">
        <v>48</v>
      </c>
      <c r="K78" s="184" t="e">
        <f t="shared" si="15"/>
        <v>#N/A</v>
      </c>
      <c r="L78" s="185" t="e">
        <f>IF(K78="","",VLOOKUP(K78,'Database Lab+Equip'!$G:$I,3,FALSE))</f>
        <v>#N/A</v>
      </c>
      <c r="M78" s="185" t="e">
        <f>IF(K78="","",SUMIF('Installation 1'!B:B,'Budget-Labour Equipment'!K78,'Installation 1'!I:I)+SUMIF('Subcontract 2'!B:B,'Budget-Labour Equipment'!K78,'Subcontract 2'!I:I)+SUMIF('Optional-3'!B:B,'Budget-Labour Equipment'!K78,'Optional-3'!I:I)+SUMIF('Mob-Demob'!B:B,'Budget-Labour Equipment'!K78,'Mob-Demob'!I:I))</f>
        <v>#N/A</v>
      </c>
      <c r="N78" s="186" t="e">
        <f>IF(K78="","",RANK(L78,$L$31:$L$135)+COUNTIF($L$31:L78,L78)-1)</f>
        <v>#N/A</v>
      </c>
      <c r="P78" s="183" t="e">
        <f t="shared" si="12"/>
        <v>#N/A</v>
      </c>
      <c r="R78" s="32">
        <v>48</v>
      </c>
      <c r="S78" s="31" t="e">
        <f t="shared" si="13"/>
        <v>#N/A</v>
      </c>
      <c r="T78" s="177" t="e">
        <f>IF(S78="","",VLOOKUP(S78,'Database Lab+Equip'!$G:$I,3,FALSE))</f>
        <v>#N/A</v>
      </c>
      <c r="U78" s="177" t="e">
        <f>IF(S78="","",(SUMIF('Installation 1'!B:B,'Budget-Labour Equipment'!S78,'Installation 1'!I:I)+SUMIF('Subcontract 2'!B:B,'Budget-Labour Equipment'!S78,'Subcontract 2'!I:I)+SUMIF('Optional-3'!B:B,'Budget-Labour Equipment'!S78,'Optional-3'!I:I)+SUMIF('Mob-Demob'!B:B,'Budget-Labour Equipment'!S78,'Mob-Demob'!I:I)+SUMIF(Prelims!B:B,'Budget-Labour Equipment'!S78,Prelims!I:I)))</f>
        <v>#N/A</v>
      </c>
      <c r="V78" s="178" t="e">
        <f t="shared" si="14"/>
        <v>#N/A</v>
      </c>
    </row>
    <row r="79" spans="1:22" x14ac:dyDescent="0.3">
      <c r="A79" s="57" t="str">
        <f>IF('Database Lab+Equip'!G20="","Equip. Resource",'Database Lab+Equip'!G20)</f>
        <v xml:space="preserve">Light 4WD Vehicle - S/Cab Ute </v>
      </c>
      <c r="B79" s="181">
        <f>IF(A79="Equip. Resource",0,VLOOKUP(A79,'Database Lab+Equip'!G:I,3,FALSE))</f>
        <v>189</v>
      </c>
      <c r="C79" s="181">
        <f>IF(SUMIF('Installation 1'!B:B,'Budget-Labour Equipment'!A79,'Installation 1'!I:I)+SUMIF('Subcontract 2'!B:B,'Budget-Labour Equipment'!A79,'Subcontract 2'!I:I)+SUMIF('Optional-3'!B:B,'Budget-Labour Equipment'!A79,'Optional-3'!I:I)+SUMIF('Mob-Demob'!B:B,'Budget-Labour Equipment'!A79,'Mob-Demob'!I:I)+SUMIF(Prelims!B:B,'Budget-Labour Equipment'!A79,Prelims!I:I)=0,0,(SUMIF('Installation 1'!B:B,'Budget-Labour Equipment'!A79,'Installation 1'!I:I)+SUMIF('Subcontract 2'!B:B,'Budget-Labour Equipment'!A79,'Subcontract 2'!I:I)+SUMIF('Optional-3'!B:B,'Budget-Labour Equipment'!A79,'Optional-3'!I:I)+SUMIF('Mob-Demob'!B:B,'Budget-Labour Equipment'!A79,'Mob-Demob'!I:I)+SUMIF(Prelims!B:B,'Budget-Labour Equipment'!A79,Prelims!I:I)))</f>
        <v>0</v>
      </c>
      <c r="D79" s="182">
        <f t="shared" si="8"/>
        <v>0</v>
      </c>
      <c r="E79" s="183">
        <f t="shared" si="9"/>
        <v>7.8999999999999996E-5</v>
      </c>
      <c r="F79" s="183" t="e">
        <f t="shared" si="10"/>
        <v>#REF!</v>
      </c>
      <c r="H79" s="183" t="e">
        <f t="shared" si="11"/>
        <v>#N/A</v>
      </c>
      <c r="J79" s="183">
        <v>49</v>
      </c>
      <c r="K79" s="184" t="e">
        <f t="shared" si="15"/>
        <v>#N/A</v>
      </c>
      <c r="L79" s="185" t="e">
        <f>IF(K79="","",VLOOKUP(K79,'Database Lab+Equip'!$G:$I,3,FALSE))</f>
        <v>#N/A</v>
      </c>
      <c r="M79" s="185" t="e">
        <f>IF(K79="","",SUMIF('Installation 1'!B:B,'Budget-Labour Equipment'!K79,'Installation 1'!I:I)+SUMIF('Subcontract 2'!B:B,'Budget-Labour Equipment'!K79,'Subcontract 2'!I:I)+SUMIF('Optional-3'!B:B,'Budget-Labour Equipment'!K79,'Optional-3'!I:I)+SUMIF('Mob-Demob'!B:B,'Budget-Labour Equipment'!K79,'Mob-Demob'!I:I))</f>
        <v>#N/A</v>
      </c>
      <c r="N79" s="186" t="e">
        <f>IF(K79="","",RANK(L79,$L$31:$L$135)+COUNTIF($L$31:L79,L79)-1)</f>
        <v>#N/A</v>
      </c>
      <c r="P79" s="183" t="e">
        <f t="shared" si="12"/>
        <v>#N/A</v>
      </c>
      <c r="R79" s="32">
        <v>49</v>
      </c>
      <c r="S79" s="31" t="e">
        <f t="shared" si="13"/>
        <v>#N/A</v>
      </c>
      <c r="T79" s="177" t="e">
        <f>IF(S79="","",VLOOKUP(S79,'Database Lab+Equip'!$G:$I,3,FALSE))</f>
        <v>#N/A</v>
      </c>
      <c r="U79" s="177" t="e">
        <f>IF(S79="","",(SUMIF('Installation 1'!B:B,'Budget-Labour Equipment'!S79,'Installation 1'!I:I)+SUMIF('Subcontract 2'!B:B,'Budget-Labour Equipment'!S79,'Subcontract 2'!I:I)+SUMIF('Optional-3'!B:B,'Budget-Labour Equipment'!S79,'Optional-3'!I:I)+SUMIF('Mob-Demob'!B:B,'Budget-Labour Equipment'!S79,'Mob-Demob'!I:I)+SUMIF(Prelims!B:B,'Budget-Labour Equipment'!S79,Prelims!I:I)))</f>
        <v>#N/A</v>
      </c>
      <c r="V79" s="178" t="e">
        <f t="shared" si="14"/>
        <v>#N/A</v>
      </c>
    </row>
    <row r="80" spans="1:22" x14ac:dyDescent="0.3">
      <c r="A80" s="57" t="str">
        <f>IF('Database Lab+Equip'!G21="","Equip. Resource",'Database Lab+Equip'!G21)</f>
        <v>Light 4WD Vehicle - Wagon</v>
      </c>
      <c r="B80" s="181">
        <f>IF(A80="Equip. Resource",0,VLOOKUP(A80,'Database Lab+Equip'!G:I,3,FALSE))</f>
        <v>261</v>
      </c>
      <c r="C80" s="181">
        <f>IF(SUMIF('Installation 1'!B:B,'Budget-Labour Equipment'!A80,'Installation 1'!I:I)+SUMIF('Subcontract 2'!B:B,'Budget-Labour Equipment'!A80,'Subcontract 2'!I:I)+SUMIF('Optional-3'!B:B,'Budget-Labour Equipment'!A80,'Optional-3'!I:I)+SUMIF('Mob-Demob'!B:B,'Budget-Labour Equipment'!A80,'Mob-Demob'!I:I)+SUMIF(Prelims!B:B,'Budget-Labour Equipment'!A80,Prelims!I:I)=0,0,(SUMIF('Installation 1'!B:B,'Budget-Labour Equipment'!A80,'Installation 1'!I:I)+SUMIF('Subcontract 2'!B:B,'Budget-Labour Equipment'!A80,'Subcontract 2'!I:I)+SUMIF('Optional-3'!B:B,'Budget-Labour Equipment'!A80,'Optional-3'!I:I)+SUMIF('Mob-Demob'!B:B,'Budget-Labour Equipment'!A80,'Mob-Demob'!I:I)+SUMIF(Prelims!B:B,'Budget-Labour Equipment'!A80,Prelims!I:I)))</f>
        <v>0</v>
      </c>
      <c r="D80" s="182">
        <f t="shared" si="8"/>
        <v>0</v>
      </c>
      <c r="E80" s="183">
        <f t="shared" si="9"/>
        <v>7.9999999999999993E-5</v>
      </c>
      <c r="F80" s="183" t="e">
        <f t="shared" si="10"/>
        <v>#REF!</v>
      </c>
      <c r="H80" s="183" t="e">
        <f t="shared" si="11"/>
        <v>#N/A</v>
      </c>
      <c r="J80" s="183">
        <v>50</v>
      </c>
      <c r="K80" s="184" t="e">
        <f t="shared" si="15"/>
        <v>#N/A</v>
      </c>
      <c r="L80" s="185" t="e">
        <f>IF(K80="","",VLOOKUP(K80,'Database Lab+Equip'!$G:$I,3,FALSE))</f>
        <v>#N/A</v>
      </c>
      <c r="M80" s="185" t="e">
        <f>IF(K80="","",SUMIF('Installation 1'!B:B,'Budget-Labour Equipment'!K80,'Installation 1'!I:I)+SUMIF('Subcontract 2'!B:B,'Budget-Labour Equipment'!K80,'Subcontract 2'!I:I)+SUMIF('Optional-3'!B:B,'Budget-Labour Equipment'!K80,'Optional-3'!I:I)+SUMIF('Mob-Demob'!B:B,'Budget-Labour Equipment'!K80,'Mob-Demob'!I:I))</f>
        <v>#N/A</v>
      </c>
      <c r="N80" s="186" t="e">
        <f>IF(K80="","",RANK(L80,$L$31:$L$135)+COUNTIF($L$31:L80,L80)-1)</f>
        <v>#N/A</v>
      </c>
      <c r="P80" s="183" t="e">
        <f t="shared" si="12"/>
        <v>#N/A</v>
      </c>
      <c r="R80" s="32">
        <v>50</v>
      </c>
      <c r="S80" s="31" t="e">
        <f t="shared" si="13"/>
        <v>#N/A</v>
      </c>
      <c r="T80" s="177" t="e">
        <f>IF(S80="","",VLOOKUP(S80,'Database Lab+Equip'!$G:$I,3,FALSE))</f>
        <v>#N/A</v>
      </c>
      <c r="U80" s="177" t="e">
        <f>IF(S80="","",(SUMIF('Installation 1'!B:B,'Budget-Labour Equipment'!S80,'Installation 1'!I:I)+SUMIF('Subcontract 2'!B:B,'Budget-Labour Equipment'!S80,'Subcontract 2'!I:I)+SUMIF('Optional-3'!B:B,'Budget-Labour Equipment'!S80,'Optional-3'!I:I)+SUMIF('Mob-Demob'!B:B,'Budget-Labour Equipment'!S80,'Mob-Demob'!I:I)+SUMIF(Prelims!B:B,'Budget-Labour Equipment'!S80,Prelims!I:I)))</f>
        <v>#N/A</v>
      </c>
      <c r="V80" s="178" t="e">
        <f t="shared" si="14"/>
        <v>#N/A</v>
      </c>
    </row>
    <row r="81" spans="1:22" x14ac:dyDescent="0.3">
      <c r="A81" s="57" t="str">
        <f>IF('Database Lab+Equip'!G22="","Equip. Resource",'Database Lab+Equip'!G22)</f>
        <v>Magnetic Drill &amp; Rotor broach bits</v>
      </c>
      <c r="B81" s="181">
        <f>IF(A81="Equip. Resource",0,VLOOKUP(A81,'Database Lab+Equip'!G:I,3,FALSE))</f>
        <v>117</v>
      </c>
      <c r="C81" s="181">
        <f>IF(SUMIF('Installation 1'!B:B,'Budget-Labour Equipment'!A81,'Installation 1'!I:I)+SUMIF('Subcontract 2'!B:B,'Budget-Labour Equipment'!A81,'Subcontract 2'!I:I)+SUMIF('Optional-3'!B:B,'Budget-Labour Equipment'!A81,'Optional-3'!I:I)+SUMIF('Mob-Demob'!B:B,'Budget-Labour Equipment'!A81,'Mob-Demob'!I:I)+SUMIF(Prelims!B:B,'Budget-Labour Equipment'!A81,Prelims!I:I)=0,0,(SUMIF('Installation 1'!B:B,'Budget-Labour Equipment'!A81,'Installation 1'!I:I)+SUMIF('Subcontract 2'!B:B,'Budget-Labour Equipment'!A81,'Subcontract 2'!I:I)+SUMIF('Optional-3'!B:B,'Budget-Labour Equipment'!A81,'Optional-3'!I:I)+SUMIF('Mob-Demob'!B:B,'Budget-Labour Equipment'!A81,'Mob-Demob'!I:I)+SUMIF(Prelims!B:B,'Budget-Labour Equipment'!A81,Prelims!I:I)))</f>
        <v>0</v>
      </c>
      <c r="D81" s="182">
        <f t="shared" si="8"/>
        <v>0</v>
      </c>
      <c r="E81" s="183">
        <f t="shared" si="9"/>
        <v>8.099999999999999E-5</v>
      </c>
      <c r="F81" s="183" t="e">
        <f t="shared" si="10"/>
        <v>#REF!</v>
      </c>
      <c r="H81" s="183" t="e">
        <f t="shared" si="11"/>
        <v>#N/A</v>
      </c>
      <c r="J81" s="183">
        <v>51</v>
      </c>
      <c r="K81" s="184" t="e">
        <f t="shared" si="15"/>
        <v>#N/A</v>
      </c>
      <c r="L81" s="185" t="e">
        <f>IF(K81="","",VLOOKUP(K81,'Database Lab+Equip'!$G:$I,3,FALSE))</f>
        <v>#N/A</v>
      </c>
      <c r="M81" s="185" t="e">
        <f>IF(K81="","",SUMIF('Installation 1'!B:B,'Budget-Labour Equipment'!K81,'Installation 1'!I:I)+SUMIF('Subcontract 2'!B:B,'Budget-Labour Equipment'!K81,'Subcontract 2'!I:I)+SUMIF('Optional-3'!B:B,'Budget-Labour Equipment'!K81,'Optional-3'!I:I)+SUMIF('Mob-Demob'!B:B,'Budget-Labour Equipment'!K81,'Mob-Demob'!I:I))</f>
        <v>#N/A</v>
      </c>
      <c r="N81" s="186" t="e">
        <f>IF(K81="","",RANK(L81,$L$31:$L$135)+COUNTIF($L$31:L81,L81)-1)</f>
        <v>#N/A</v>
      </c>
      <c r="P81" s="183" t="e">
        <f t="shared" si="12"/>
        <v>#N/A</v>
      </c>
      <c r="R81" s="32">
        <v>51</v>
      </c>
      <c r="S81" s="31" t="e">
        <f t="shared" si="13"/>
        <v>#N/A</v>
      </c>
      <c r="T81" s="177" t="e">
        <f>IF(S81="","",VLOOKUP(S81,'Database Lab+Equip'!$G:$I,3,FALSE))</f>
        <v>#N/A</v>
      </c>
      <c r="U81" s="177" t="e">
        <f>IF(S81="","",(SUMIF('Installation 1'!B:B,'Budget-Labour Equipment'!S81,'Installation 1'!I:I)+SUMIF('Subcontract 2'!B:B,'Budget-Labour Equipment'!S81,'Subcontract 2'!I:I)+SUMIF('Optional-3'!B:B,'Budget-Labour Equipment'!S81,'Optional-3'!I:I)+SUMIF('Mob-Demob'!B:B,'Budget-Labour Equipment'!S81,'Mob-Demob'!I:I)+SUMIF(Prelims!B:B,'Budget-Labour Equipment'!S81,Prelims!I:I)))</f>
        <v>#N/A</v>
      </c>
      <c r="V81" s="178" t="e">
        <f t="shared" si="14"/>
        <v>#N/A</v>
      </c>
    </row>
    <row r="82" spans="1:22" x14ac:dyDescent="0.3">
      <c r="A82" s="57" t="str">
        <f>IF('Database Lab+Equip'!G23="","Equip. Resource",'Database Lab+Equip'!G23)</f>
        <v>Medium Vehicle - Bus 22 Seater Coaster</v>
      </c>
      <c r="B82" s="181">
        <f>IF(A82="Equip. Resource",0,VLOOKUP(A82,'Database Lab+Equip'!G:I,3,FALSE))</f>
        <v>374.40000000000003</v>
      </c>
      <c r="C82" s="181">
        <f>IF(SUMIF('Installation 1'!B:B,'Budget-Labour Equipment'!A82,'Installation 1'!I:I)+SUMIF('Subcontract 2'!B:B,'Budget-Labour Equipment'!A82,'Subcontract 2'!I:I)+SUMIF('Optional-3'!B:B,'Budget-Labour Equipment'!A82,'Optional-3'!I:I)+SUMIF('Mob-Demob'!B:B,'Budget-Labour Equipment'!A82,'Mob-Demob'!I:I)+SUMIF(Prelims!B:B,'Budget-Labour Equipment'!A82,Prelims!I:I)=0,0,(SUMIF('Installation 1'!B:B,'Budget-Labour Equipment'!A82,'Installation 1'!I:I)+SUMIF('Subcontract 2'!B:B,'Budget-Labour Equipment'!A82,'Subcontract 2'!I:I)+SUMIF('Optional-3'!B:B,'Budget-Labour Equipment'!A82,'Optional-3'!I:I)+SUMIF('Mob-Demob'!B:B,'Budget-Labour Equipment'!A82,'Mob-Demob'!I:I)+SUMIF(Prelims!B:B,'Budget-Labour Equipment'!A82,Prelims!I:I)))</f>
        <v>0</v>
      </c>
      <c r="D82" s="182">
        <f t="shared" si="8"/>
        <v>0</v>
      </c>
      <c r="E82" s="183">
        <f t="shared" si="9"/>
        <v>8.2000000000000001E-5</v>
      </c>
      <c r="F82" s="183" t="e">
        <f t="shared" si="10"/>
        <v>#REF!</v>
      </c>
      <c r="H82" s="183" t="e">
        <f t="shared" si="11"/>
        <v>#N/A</v>
      </c>
      <c r="J82" s="183">
        <v>52</v>
      </c>
      <c r="K82" s="184" t="e">
        <f t="shared" si="15"/>
        <v>#N/A</v>
      </c>
      <c r="L82" s="185" t="e">
        <f>IF(K82="","",VLOOKUP(K82,'Database Lab+Equip'!$G:$I,3,FALSE))</f>
        <v>#N/A</v>
      </c>
      <c r="M82" s="185" t="e">
        <f>IF(K82="","",SUMIF('Installation 1'!B:B,'Budget-Labour Equipment'!K82,'Installation 1'!I:I)+SUMIF('Subcontract 2'!B:B,'Budget-Labour Equipment'!K82,'Subcontract 2'!I:I)+SUMIF('Optional-3'!B:B,'Budget-Labour Equipment'!K82,'Optional-3'!I:I)+SUMIF('Mob-Demob'!B:B,'Budget-Labour Equipment'!K82,'Mob-Demob'!I:I))</f>
        <v>#N/A</v>
      </c>
      <c r="N82" s="186" t="e">
        <f>IF(K82="","",RANK(L82,$L$31:$L$135)+COUNTIF($L$31:L82,L82)-1)</f>
        <v>#N/A</v>
      </c>
      <c r="P82" s="183" t="e">
        <f t="shared" si="12"/>
        <v>#N/A</v>
      </c>
      <c r="R82" s="32">
        <v>52</v>
      </c>
      <c r="S82" s="31" t="e">
        <f t="shared" si="13"/>
        <v>#N/A</v>
      </c>
      <c r="T82" s="177" t="e">
        <f>IF(S82="","",VLOOKUP(S82,'Database Lab+Equip'!$G:$I,3,FALSE))</f>
        <v>#N/A</v>
      </c>
      <c r="U82" s="177" t="e">
        <f>IF(S82="","",(SUMIF('Installation 1'!B:B,'Budget-Labour Equipment'!S82,'Installation 1'!I:I)+SUMIF('Subcontract 2'!B:B,'Budget-Labour Equipment'!S82,'Subcontract 2'!I:I)+SUMIF('Optional-3'!B:B,'Budget-Labour Equipment'!S82,'Optional-3'!I:I)+SUMIF('Mob-Demob'!B:B,'Budget-Labour Equipment'!S82,'Mob-Demob'!I:I)+SUMIF(Prelims!B:B,'Budget-Labour Equipment'!S82,Prelims!I:I)))</f>
        <v>#N/A</v>
      </c>
      <c r="V82" s="178" t="e">
        <f t="shared" si="14"/>
        <v>#N/A</v>
      </c>
    </row>
    <row r="83" spans="1:22" x14ac:dyDescent="0.3">
      <c r="A83" s="57" t="str">
        <f>IF('Database Lab+Equip'!G24="","Equip. Resource",'Database Lab+Equip'!G24)</f>
        <v xml:space="preserve">Medium 4WD Truck - D/Cab Canter </v>
      </c>
      <c r="B83" s="181">
        <f>IF(A83="Equip. Resource",0,VLOOKUP(A83,'Database Lab+Equip'!G:I,3,FALSE))</f>
        <v>360</v>
      </c>
      <c r="C83" s="181">
        <f>IF(SUMIF('Installation 1'!B:B,'Budget-Labour Equipment'!A83,'Installation 1'!I:I)+SUMIF('Subcontract 2'!B:B,'Budget-Labour Equipment'!A83,'Subcontract 2'!I:I)+SUMIF('Optional-3'!B:B,'Budget-Labour Equipment'!A83,'Optional-3'!I:I)+SUMIF('Mob-Demob'!B:B,'Budget-Labour Equipment'!A83,'Mob-Demob'!I:I)+SUMIF(Prelims!B:B,'Budget-Labour Equipment'!A83,Prelims!I:I)=0,0,(SUMIF('Installation 1'!B:B,'Budget-Labour Equipment'!A83,'Installation 1'!I:I)+SUMIF('Subcontract 2'!B:B,'Budget-Labour Equipment'!A83,'Subcontract 2'!I:I)+SUMIF('Optional-3'!B:B,'Budget-Labour Equipment'!A83,'Optional-3'!I:I)+SUMIF('Mob-Demob'!B:B,'Budget-Labour Equipment'!A83,'Mob-Demob'!I:I)+SUMIF(Prelims!B:B,'Budget-Labour Equipment'!A83,Prelims!I:I)))</f>
        <v>0</v>
      </c>
      <c r="D83" s="182">
        <f t="shared" si="8"/>
        <v>0</v>
      </c>
      <c r="E83" s="183">
        <f t="shared" si="9"/>
        <v>8.2999999999999998E-5</v>
      </c>
      <c r="F83" s="183" t="e">
        <f t="shared" si="10"/>
        <v>#REF!</v>
      </c>
      <c r="H83" s="183" t="e">
        <f t="shared" si="11"/>
        <v>#N/A</v>
      </c>
      <c r="J83" s="183">
        <v>53</v>
      </c>
      <c r="K83" s="184" t="e">
        <f t="shared" si="15"/>
        <v>#N/A</v>
      </c>
      <c r="L83" s="185" t="e">
        <f>IF(K83="","",VLOOKUP(K83,'Database Lab+Equip'!$G:$I,3,FALSE))</f>
        <v>#N/A</v>
      </c>
      <c r="M83" s="185" t="e">
        <f>IF(K83="","",SUMIF('Installation 1'!B:B,'Budget-Labour Equipment'!K83,'Installation 1'!I:I)+SUMIF('Subcontract 2'!B:B,'Budget-Labour Equipment'!K83,'Subcontract 2'!I:I)+SUMIF('Optional-3'!B:B,'Budget-Labour Equipment'!K83,'Optional-3'!I:I)+SUMIF('Mob-Demob'!B:B,'Budget-Labour Equipment'!K83,'Mob-Demob'!I:I))</f>
        <v>#N/A</v>
      </c>
      <c r="N83" s="186" t="e">
        <f>IF(K83="","",RANK(L83,$L$31:$L$135)+COUNTIF($L$31:L83,L83)-1)</f>
        <v>#N/A</v>
      </c>
      <c r="P83" s="183" t="e">
        <f t="shared" si="12"/>
        <v>#N/A</v>
      </c>
      <c r="R83" s="32">
        <v>53</v>
      </c>
      <c r="S83" s="31" t="e">
        <f t="shared" si="13"/>
        <v>#N/A</v>
      </c>
      <c r="T83" s="177" t="e">
        <f>IF(S83="","",VLOOKUP(S83,'Database Lab+Equip'!$G:$I,3,FALSE))</f>
        <v>#N/A</v>
      </c>
      <c r="U83" s="177" t="e">
        <f>IF(S83="","",(SUMIF('Installation 1'!B:B,'Budget-Labour Equipment'!S83,'Installation 1'!I:I)+SUMIF('Subcontract 2'!B:B,'Budget-Labour Equipment'!S83,'Subcontract 2'!I:I)+SUMIF('Optional-3'!B:B,'Budget-Labour Equipment'!S83,'Optional-3'!I:I)+SUMIF('Mob-Demob'!B:B,'Budget-Labour Equipment'!S83,'Mob-Demob'!I:I)+SUMIF(Prelims!B:B,'Budget-Labour Equipment'!S83,Prelims!I:I)))</f>
        <v>#N/A</v>
      </c>
      <c r="V83" s="178" t="e">
        <f t="shared" si="14"/>
        <v>#N/A</v>
      </c>
    </row>
    <row r="84" spans="1:22" x14ac:dyDescent="0.3">
      <c r="A84" s="57" t="str">
        <f>IF('Database Lab+Equip'!G25="","Equip. Resource",'Database Lab+Equip'!G25)</f>
        <v>Star Picket Driver</v>
      </c>
      <c r="B84" s="181">
        <f>IF(A84="Equip. Resource",0,VLOOKUP(A84,'Database Lab+Equip'!G:I,3,FALSE))</f>
        <v>18</v>
      </c>
      <c r="C84" s="181">
        <f>IF(SUMIF('Installation 1'!B:B,'Budget-Labour Equipment'!A84,'Installation 1'!I:I)+SUMIF('Subcontract 2'!B:B,'Budget-Labour Equipment'!A84,'Subcontract 2'!I:I)+SUMIF('Optional-3'!B:B,'Budget-Labour Equipment'!A84,'Optional-3'!I:I)+SUMIF('Mob-Demob'!B:B,'Budget-Labour Equipment'!A84,'Mob-Demob'!I:I)+SUMIF(Prelims!B:B,'Budget-Labour Equipment'!A84,Prelims!I:I)=0,0,(SUMIF('Installation 1'!B:B,'Budget-Labour Equipment'!A84,'Installation 1'!I:I)+SUMIF('Subcontract 2'!B:B,'Budget-Labour Equipment'!A84,'Subcontract 2'!I:I)+SUMIF('Optional-3'!B:B,'Budget-Labour Equipment'!A84,'Optional-3'!I:I)+SUMIF('Mob-Demob'!B:B,'Budget-Labour Equipment'!A84,'Mob-Demob'!I:I)+SUMIF(Prelims!B:B,'Budget-Labour Equipment'!A84,Prelims!I:I)))</f>
        <v>0</v>
      </c>
      <c r="D84" s="182">
        <f t="shared" si="8"/>
        <v>0</v>
      </c>
      <c r="E84" s="183">
        <f t="shared" si="9"/>
        <v>8.3999999999999995E-5</v>
      </c>
      <c r="F84" s="183" t="e">
        <f t="shared" si="10"/>
        <v>#REF!</v>
      </c>
      <c r="H84" s="183" t="e">
        <f t="shared" si="11"/>
        <v>#N/A</v>
      </c>
      <c r="J84" s="183">
        <v>54</v>
      </c>
      <c r="K84" s="184" t="e">
        <f t="shared" si="15"/>
        <v>#N/A</v>
      </c>
      <c r="L84" s="185" t="e">
        <f>IF(K84="","",VLOOKUP(K84,'Database Lab+Equip'!$G:$I,3,FALSE))</f>
        <v>#N/A</v>
      </c>
      <c r="M84" s="185" t="e">
        <f>IF(K84="","",SUMIF('Installation 1'!B:B,'Budget-Labour Equipment'!K84,'Installation 1'!I:I)+SUMIF('Subcontract 2'!B:B,'Budget-Labour Equipment'!K84,'Subcontract 2'!I:I)+SUMIF('Optional-3'!B:B,'Budget-Labour Equipment'!K84,'Optional-3'!I:I)+SUMIF('Mob-Demob'!B:B,'Budget-Labour Equipment'!K84,'Mob-Demob'!I:I))</f>
        <v>#N/A</v>
      </c>
      <c r="N84" s="186" t="e">
        <f>IF(K84="","",RANK(L84,$L$31:$L$135)+COUNTIF($L$31:L84,L84)-1)</f>
        <v>#N/A</v>
      </c>
      <c r="P84" s="183" t="e">
        <f t="shared" si="12"/>
        <v>#N/A</v>
      </c>
      <c r="R84" s="32">
        <v>54</v>
      </c>
      <c r="S84" s="31" t="e">
        <f t="shared" si="13"/>
        <v>#N/A</v>
      </c>
      <c r="T84" s="177" t="e">
        <f>IF(S84="","",VLOOKUP(S84,'Database Lab+Equip'!$G:$I,3,FALSE))</f>
        <v>#N/A</v>
      </c>
      <c r="U84" s="177" t="e">
        <f>IF(S84="","",(SUMIF('Installation 1'!B:B,'Budget-Labour Equipment'!S84,'Installation 1'!I:I)+SUMIF('Subcontract 2'!B:B,'Budget-Labour Equipment'!S84,'Subcontract 2'!I:I)+SUMIF('Optional-3'!B:B,'Budget-Labour Equipment'!S84,'Optional-3'!I:I)+SUMIF('Mob-Demob'!B:B,'Budget-Labour Equipment'!S84,'Mob-Demob'!I:I)+SUMIF(Prelims!B:B,'Budget-Labour Equipment'!S84,Prelims!I:I)))</f>
        <v>#N/A</v>
      </c>
      <c r="V84" s="178" t="e">
        <f t="shared" si="14"/>
        <v>#N/A</v>
      </c>
    </row>
    <row r="85" spans="1:22" x14ac:dyDescent="0.3">
      <c r="A85" s="57" t="str">
        <f>IF('Database Lab+Equip'!G26="","Equip. Resource",'Database Lab+Equip'!G26)</f>
        <v>Pipe Dolly's x 2</v>
      </c>
      <c r="B85" s="181">
        <f>IF(A85="Equip. Resource",0,VLOOKUP(A85,'Database Lab+Equip'!G:I,3,FALSE))</f>
        <v>90</v>
      </c>
      <c r="C85" s="181">
        <f>IF(SUMIF('Installation 1'!B:B,'Budget-Labour Equipment'!A85,'Installation 1'!I:I)+SUMIF('Subcontract 2'!B:B,'Budget-Labour Equipment'!A85,'Subcontract 2'!I:I)+SUMIF('Optional-3'!B:B,'Budget-Labour Equipment'!A85,'Optional-3'!I:I)+SUMIF('Mob-Demob'!B:B,'Budget-Labour Equipment'!A85,'Mob-Demob'!I:I)+SUMIF(Prelims!B:B,'Budget-Labour Equipment'!A85,Prelims!I:I)=0,0,(SUMIF('Installation 1'!B:B,'Budget-Labour Equipment'!A85,'Installation 1'!I:I)+SUMIF('Subcontract 2'!B:B,'Budget-Labour Equipment'!A85,'Subcontract 2'!I:I)+SUMIF('Optional-3'!B:B,'Budget-Labour Equipment'!A85,'Optional-3'!I:I)+SUMIF('Mob-Demob'!B:B,'Budget-Labour Equipment'!A85,'Mob-Demob'!I:I)+SUMIF(Prelims!B:B,'Budget-Labour Equipment'!A85,Prelims!I:I)))</f>
        <v>0</v>
      </c>
      <c r="D85" s="182">
        <f t="shared" si="8"/>
        <v>0</v>
      </c>
      <c r="E85" s="183">
        <f t="shared" si="9"/>
        <v>8.4999999999999993E-5</v>
      </c>
      <c r="F85" s="183" t="e">
        <f t="shared" si="10"/>
        <v>#REF!</v>
      </c>
      <c r="H85" s="183" t="e">
        <f t="shared" si="11"/>
        <v>#N/A</v>
      </c>
      <c r="J85" s="183">
        <v>55</v>
      </c>
      <c r="K85" s="184" t="e">
        <f t="shared" si="15"/>
        <v>#N/A</v>
      </c>
      <c r="L85" s="185" t="e">
        <f>IF(K85="","",VLOOKUP(K85,'Database Lab+Equip'!$G:$I,3,FALSE))</f>
        <v>#N/A</v>
      </c>
      <c r="M85" s="185" t="e">
        <f>IF(K85="","",SUMIF('Installation 1'!B:B,'Budget-Labour Equipment'!K85,'Installation 1'!I:I)+SUMIF('Subcontract 2'!B:B,'Budget-Labour Equipment'!K85,'Subcontract 2'!I:I)+SUMIF('Optional-3'!B:B,'Budget-Labour Equipment'!K85,'Optional-3'!I:I)+SUMIF('Mob-Demob'!B:B,'Budget-Labour Equipment'!K85,'Mob-Demob'!I:I))</f>
        <v>#N/A</v>
      </c>
      <c r="N85" s="186" t="e">
        <f>IF(K85="","",RANK(L85,$L$31:$L$135)+COUNTIF($L$31:L85,L85)-1)</f>
        <v>#N/A</v>
      </c>
      <c r="P85" s="183" t="e">
        <f t="shared" si="12"/>
        <v>#N/A</v>
      </c>
      <c r="R85" s="32">
        <v>55</v>
      </c>
      <c r="S85" s="31" t="e">
        <f t="shared" si="13"/>
        <v>#N/A</v>
      </c>
      <c r="T85" s="177" t="e">
        <f>IF(S85="","",VLOOKUP(S85,'Database Lab+Equip'!$G:$I,3,FALSE))</f>
        <v>#N/A</v>
      </c>
      <c r="U85" s="177" t="e">
        <f>IF(S85="","",(SUMIF('Installation 1'!B:B,'Budget-Labour Equipment'!S85,'Installation 1'!I:I)+SUMIF('Subcontract 2'!B:B,'Budget-Labour Equipment'!S85,'Subcontract 2'!I:I)+SUMIF('Optional-3'!B:B,'Budget-Labour Equipment'!S85,'Optional-3'!I:I)+SUMIF('Mob-Demob'!B:B,'Budget-Labour Equipment'!S85,'Mob-Demob'!I:I)+SUMIF(Prelims!B:B,'Budget-Labour Equipment'!S85,Prelims!I:I)))</f>
        <v>#N/A</v>
      </c>
      <c r="V85" s="178" t="e">
        <f t="shared" si="14"/>
        <v>#N/A</v>
      </c>
    </row>
    <row r="86" spans="1:22" x14ac:dyDescent="0.3">
      <c r="A86" s="57" t="str">
        <f>IF('Database Lab+Equip'!G27="","Equip. Resource",'Database Lab+Equip'!G27)</f>
        <v>Pipe Threader - Rigid Compact 300</v>
      </c>
      <c r="B86" s="181">
        <f>IF(A86="Equip. Resource",0,VLOOKUP(A86,'Database Lab+Equip'!G:I,3,FALSE))</f>
        <v>90</v>
      </c>
      <c r="C86" s="181">
        <f>IF(SUMIF('Installation 1'!B:B,'Budget-Labour Equipment'!A86,'Installation 1'!I:I)+SUMIF('Subcontract 2'!B:B,'Budget-Labour Equipment'!A86,'Subcontract 2'!I:I)+SUMIF('Optional-3'!B:B,'Budget-Labour Equipment'!A86,'Optional-3'!I:I)+SUMIF('Mob-Demob'!B:B,'Budget-Labour Equipment'!A86,'Mob-Demob'!I:I)+SUMIF(Prelims!B:B,'Budget-Labour Equipment'!A86,Prelims!I:I)=0,0,(SUMIF('Installation 1'!B:B,'Budget-Labour Equipment'!A86,'Installation 1'!I:I)+SUMIF('Subcontract 2'!B:B,'Budget-Labour Equipment'!A86,'Subcontract 2'!I:I)+SUMIF('Optional-3'!B:B,'Budget-Labour Equipment'!A86,'Optional-3'!I:I)+SUMIF('Mob-Demob'!B:B,'Budget-Labour Equipment'!A86,'Mob-Demob'!I:I)+SUMIF(Prelims!B:B,'Budget-Labour Equipment'!A86,Prelims!I:I)))</f>
        <v>0</v>
      </c>
      <c r="D86" s="182">
        <f t="shared" si="8"/>
        <v>0</v>
      </c>
      <c r="E86" s="183">
        <f t="shared" si="9"/>
        <v>8.599999999999999E-5</v>
      </c>
      <c r="F86" s="183" t="e">
        <f t="shared" si="10"/>
        <v>#REF!</v>
      </c>
      <c r="H86" s="183" t="e">
        <f t="shared" si="11"/>
        <v>#N/A</v>
      </c>
      <c r="J86" s="183">
        <v>56</v>
      </c>
      <c r="K86" s="184" t="e">
        <f t="shared" si="15"/>
        <v>#N/A</v>
      </c>
      <c r="L86" s="185" t="e">
        <f>IF(K86="","",VLOOKUP(K86,'Database Lab+Equip'!$G:$I,3,FALSE))</f>
        <v>#N/A</v>
      </c>
      <c r="M86" s="185" t="e">
        <f>IF(K86="","",SUMIF('Installation 1'!B:B,'Budget-Labour Equipment'!K86,'Installation 1'!I:I)+SUMIF('Subcontract 2'!B:B,'Budget-Labour Equipment'!K86,'Subcontract 2'!I:I)+SUMIF('Optional-3'!B:B,'Budget-Labour Equipment'!K86,'Optional-3'!I:I)+SUMIF('Mob-Demob'!B:B,'Budget-Labour Equipment'!K86,'Mob-Demob'!I:I))</f>
        <v>#N/A</v>
      </c>
      <c r="N86" s="186" t="e">
        <f>IF(K86="","",RANK(L86,$L$31:$L$135)+COUNTIF($L$31:L86,L86)-1)</f>
        <v>#N/A</v>
      </c>
      <c r="P86" s="183" t="e">
        <f t="shared" si="12"/>
        <v>#N/A</v>
      </c>
      <c r="R86" s="32">
        <v>56</v>
      </c>
      <c r="S86" s="31" t="e">
        <f t="shared" si="13"/>
        <v>#N/A</v>
      </c>
      <c r="T86" s="177" t="e">
        <f>IF(S86="","",VLOOKUP(S86,'Database Lab+Equip'!$G:$I,3,FALSE))</f>
        <v>#N/A</v>
      </c>
      <c r="U86" s="177" t="e">
        <f>IF(S86="","",(SUMIF('Installation 1'!B:B,'Budget-Labour Equipment'!S86,'Installation 1'!I:I)+SUMIF('Subcontract 2'!B:B,'Budget-Labour Equipment'!S86,'Subcontract 2'!I:I)+SUMIF('Optional-3'!B:B,'Budget-Labour Equipment'!S86,'Optional-3'!I:I)+SUMIF('Mob-Demob'!B:B,'Budget-Labour Equipment'!S86,'Mob-Demob'!I:I)+SUMIF(Prelims!B:B,'Budget-Labour Equipment'!S86,Prelims!I:I)))</f>
        <v>#N/A</v>
      </c>
      <c r="V86" s="178" t="e">
        <f t="shared" si="14"/>
        <v>#N/A</v>
      </c>
    </row>
    <row r="87" spans="1:22" x14ac:dyDescent="0.3">
      <c r="A87" s="57" t="str">
        <f>IF('Database Lab+Equip'!G28="","Equip. Resource",'Database Lab+Equip'!G28)</f>
        <v>Poly Porter</v>
      </c>
      <c r="B87" s="181">
        <f>IF(A87="Equip. Resource",0,VLOOKUP(A87,'Database Lab+Equip'!G:I,3,FALSE))</f>
        <v>27</v>
      </c>
      <c r="C87" s="181">
        <f>IF(SUMIF('Installation 1'!B:B,'Budget-Labour Equipment'!A87,'Installation 1'!I:I)+SUMIF('Subcontract 2'!B:B,'Budget-Labour Equipment'!A87,'Subcontract 2'!I:I)+SUMIF('Optional-3'!B:B,'Budget-Labour Equipment'!A87,'Optional-3'!I:I)+SUMIF('Mob-Demob'!B:B,'Budget-Labour Equipment'!A87,'Mob-Demob'!I:I)+SUMIF(Prelims!B:B,'Budget-Labour Equipment'!A87,Prelims!I:I)=0,0,(SUMIF('Installation 1'!B:B,'Budget-Labour Equipment'!A87,'Installation 1'!I:I)+SUMIF('Subcontract 2'!B:B,'Budget-Labour Equipment'!A87,'Subcontract 2'!I:I)+SUMIF('Optional-3'!B:B,'Budget-Labour Equipment'!A87,'Optional-3'!I:I)+SUMIF('Mob-Demob'!B:B,'Budget-Labour Equipment'!A87,'Mob-Demob'!I:I)+SUMIF(Prelims!B:B,'Budget-Labour Equipment'!A87,Prelims!I:I)))</f>
        <v>0</v>
      </c>
      <c r="D87" s="182">
        <f t="shared" si="8"/>
        <v>0</v>
      </c>
      <c r="E87" s="183">
        <f t="shared" si="9"/>
        <v>8.7000000000000001E-5</v>
      </c>
      <c r="F87" s="183" t="e">
        <f t="shared" si="10"/>
        <v>#REF!</v>
      </c>
      <c r="H87" s="183" t="e">
        <f t="shared" si="11"/>
        <v>#N/A</v>
      </c>
      <c r="J87" s="183">
        <v>57</v>
      </c>
      <c r="K87" s="184" t="e">
        <f t="shared" si="15"/>
        <v>#N/A</v>
      </c>
      <c r="L87" s="185" t="e">
        <f>IF(K87="","",VLOOKUP(K87,'Database Lab+Equip'!$G:$I,3,FALSE))</f>
        <v>#N/A</v>
      </c>
      <c r="M87" s="185" t="e">
        <f>IF(K87="","",SUMIF('Installation 1'!B:B,'Budget-Labour Equipment'!K87,'Installation 1'!I:I)+SUMIF('Subcontract 2'!B:B,'Budget-Labour Equipment'!K87,'Subcontract 2'!I:I)+SUMIF('Optional-3'!B:B,'Budget-Labour Equipment'!K87,'Optional-3'!I:I)+SUMIF('Mob-Demob'!B:B,'Budget-Labour Equipment'!K87,'Mob-Demob'!I:I))</f>
        <v>#N/A</v>
      </c>
      <c r="N87" s="186" t="e">
        <f>IF(K87="","",RANK(L87,$L$31:$L$135)+COUNTIF($L$31:L87,L87)-1)</f>
        <v>#N/A</v>
      </c>
      <c r="P87" s="183" t="e">
        <f t="shared" si="12"/>
        <v>#N/A</v>
      </c>
      <c r="R87" s="32">
        <v>57</v>
      </c>
      <c r="S87" s="31" t="e">
        <f t="shared" si="13"/>
        <v>#N/A</v>
      </c>
      <c r="T87" s="177" t="e">
        <f>IF(S87="","",VLOOKUP(S87,'Database Lab+Equip'!$G:$I,3,FALSE))</f>
        <v>#N/A</v>
      </c>
      <c r="U87" s="177" t="e">
        <f>IF(S87="","",(SUMIF('Installation 1'!B:B,'Budget-Labour Equipment'!S87,'Installation 1'!I:I)+SUMIF('Subcontract 2'!B:B,'Budget-Labour Equipment'!S87,'Subcontract 2'!I:I)+SUMIF('Optional-3'!B:B,'Budget-Labour Equipment'!S87,'Optional-3'!I:I)+SUMIF('Mob-Demob'!B:B,'Budget-Labour Equipment'!S87,'Mob-Demob'!I:I)+SUMIF(Prelims!B:B,'Budget-Labour Equipment'!S87,Prelims!I:I)))</f>
        <v>#N/A</v>
      </c>
      <c r="V87" s="178" t="e">
        <f t="shared" si="14"/>
        <v>#N/A</v>
      </c>
    </row>
    <row r="88" spans="1:22" x14ac:dyDescent="0.3">
      <c r="A88" s="57" t="str">
        <f>IF('Database Lab+Equip'!G29="","Equip. Resource",'Database Lab+Equip'!G29)</f>
        <v>Mega Poly Horse C/W Genset</v>
      </c>
      <c r="B88" s="181">
        <f>IF(A88="Equip. Resource",0,VLOOKUP(A88,'Database Lab+Equip'!G:I,3,FALSE))</f>
        <v>720</v>
      </c>
      <c r="C88" s="181">
        <f>IF(SUMIF('Installation 1'!B:B,'Budget-Labour Equipment'!A88,'Installation 1'!I:I)+SUMIF('Subcontract 2'!B:B,'Budget-Labour Equipment'!A88,'Subcontract 2'!I:I)+SUMIF('Optional-3'!B:B,'Budget-Labour Equipment'!A88,'Optional-3'!I:I)+SUMIF('Mob-Demob'!B:B,'Budget-Labour Equipment'!A88,'Mob-Demob'!I:I)+SUMIF(Prelims!B:B,'Budget-Labour Equipment'!A88,Prelims!I:I)=0,0,(SUMIF('Installation 1'!B:B,'Budget-Labour Equipment'!A88,'Installation 1'!I:I)+SUMIF('Subcontract 2'!B:B,'Budget-Labour Equipment'!A88,'Subcontract 2'!I:I)+SUMIF('Optional-3'!B:B,'Budget-Labour Equipment'!A88,'Optional-3'!I:I)+SUMIF('Mob-Demob'!B:B,'Budget-Labour Equipment'!A88,'Mob-Demob'!I:I)+SUMIF(Prelims!B:B,'Budget-Labour Equipment'!A88,Prelims!I:I)))</f>
        <v>0</v>
      </c>
      <c r="D88" s="182">
        <f t="shared" si="8"/>
        <v>0</v>
      </c>
      <c r="E88" s="183">
        <f t="shared" si="9"/>
        <v>8.7999999999999998E-5</v>
      </c>
      <c r="F88" s="183" t="e">
        <f t="shared" si="10"/>
        <v>#REF!</v>
      </c>
      <c r="H88" s="183" t="e">
        <f t="shared" si="11"/>
        <v>#N/A</v>
      </c>
      <c r="J88" s="183">
        <v>58</v>
      </c>
      <c r="K88" s="184" t="e">
        <f t="shared" si="15"/>
        <v>#N/A</v>
      </c>
      <c r="L88" s="185" t="e">
        <f>IF(K88="","",VLOOKUP(K88,'Database Lab+Equip'!$G:$I,3,FALSE))</f>
        <v>#N/A</v>
      </c>
      <c r="M88" s="185" t="e">
        <f>IF(K88="","",SUMIF('Installation 1'!B:B,'Budget-Labour Equipment'!K88,'Installation 1'!I:I)+SUMIF('Subcontract 2'!B:B,'Budget-Labour Equipment'!K88,'Subcontract 2'!I:I)+SUMIF('Optional-3'!B:B,'Budget-Labour Equipment'!K88,'Optional-3'!I:I)+SUMIF('Mob-Demob'!B:B,'Budget-Labour Equipment'!K88,'Mob-Demob'!I:I))</f>
        <v>#N/A</v>
      </c>
      <c r="N88" s="186" t="e">
        <f>IF(K88="","",RANK(L88,$L$31:$L$135)+COUNTIF($L$31:L88,L88)-1)</f>
        <v>#N/A</v>
      </c>
      <c r="P88" s="183" t="e">
        <f t="shared" si="12"/>
        <v>#N/A</v>
      </c>
      <c r="R88" s="32">
        <v>58</v>
      </c>
      <c r="S88" s="31" t="e">
        <f t="shared" si="13"/>
        <v>#N/A</v>
      </c>
      <c r="T88" s="177" t="e">
        <f>IF(S88="","",VLOOKUP(S88,'Database Lab+Equip'!$G:$I,3,FALSE))</f>
        <v>#N/A</v>
      </c>
      <c r="U88" s="177" t="e">
        <f>IF(S88="","",(SUMIF('Installation 1'!B:B,'Budget-Labour Equipment'!S88,'Installation 1'!I:I)+SUMIF('Subcontract 2'!B:B,'Budget-Labour Equipment'!S88,'Subcontract 2'!I:I)+SUMIF('Optional-3'!B:B,'Budget-Labour Equipment'!S88,'Optional-3'!I:I)+SUMIF('Mob-Demob'!B:B,'Budget-Labour Equipment'!S88,'Mob-Demob'!I:I)+SUMIF(Prelims!B:B,'Budget-Labour Equipment'!S88,Prelims!I:I)))</f>
        <v>#N/A</v>
      </c>
      <c r="V88" s="178" t="e">
        <f t="shared" si="14"/>
        <v>#N/A</v>
      </c>
    </row>
    <row r="89" spans="1:22" x14ac:dyDescent="0.3">
      <c r="A89" s="57" t="str">
        <f>IF('Database Lab+Equip'!G30="","Equip. Resource",'Database Lab+Equip'!G30)</f>
        <v>Poly Horse C/W Power Assist</v>
      </c>
      <c r="B89" s="181">
        <f>IF(A89="Equip. Resource",0,VLOOKUP(A89,'Database Lab+Equip'!G:I,3,FALSE))</f>
        <v>180</v>
      </c>
      <c r="C89" s="181">
        <f>IF(SUMIF('Installation 1'!B:B,'Budget-Labour Equipment'!A89,'Installation 1'!I:I)+SUMIF('Subcontract 2'!B:B,'Budget-Labour Equipment'!A89,'Subcontract 2'!I:I)+SUMIF('Optional-3'!B:B,'Budget-Labour Equipment'!A89,'Optional-3'!I:I)+SUMIF('Mob-Demob'!B:B,'Budget-Labour Equipment'!A89,'Mob-Demob'!I:I)+SUMIF(Prelims!B:B,'Budget-Labour Equipment'!A89,Prelims!I:I)=0,0,(SUMIF('Installation 1'!B:B,'Budget-Labour Equipment'!A89,'Installation 1'!I:I)+SUMIF('Subcontract 2'!B:B,'Budget-Labour Equipment'!A89,'Subcontract 2'!I:I)+SUMIF('Optional-3'!B:B,'Budget-Labour Equipment'!A89,'Optional-3'!I:I)+SUMIF('Mob-Demob'!B:B,'Budget-Labour Equipment'!A89,'Mob-Demob'!I:I)+SUMIF(Prelims!B:B,'Budget-Labour Equipment'!A89,Prelims!I:I)))</f>
        <v>0</v>
      </c>
      <c r="D89" s="182">
        <f t="shared" si="8"/>
        <v>0</v>
      </c>
      <c r="E89" s="183">
        <f t="shared" si="9"/>
        <v>8.8999999999999995E-5</v>
      </c>
      <c r="F89" s="183" t="e">
        <f t="shared" si="10"/>
        <v>#REF!</v>
      </c>
      <c r="H89" s="183" t="e">
        <f t="shared" si="11"/>
        <v>#N/A</v>
      </c>
      <c r="J89" s="183">
        <v>59</v>
      </c>
      <c r="K89" s="184" t="e">
        <f t="shared" si="15"/>
        <v>#N/A</v>
      </c>
      <c r="L89" s="185" t="e">
        <f>IF(K89="","",VLOOKUP(K89,'Database Lab+Equip'!$G:$I,3,FALSE))</f>
        <v>#N/A</v>
      </c>
      <c r="M89" s="185" t="e">
        <f>IF(K89="","",SUMIF('Installation 1'!B:B,'Budget-Labour Equipment'!K89,'Installation 1'!I:I)+SUMIF('Subcontract 2'!B:B,'Budget-Labour Equipment'!K89,'Subcontract 2'!I:I)+SUMIF('Optional-3'!B:B,'Budget-Labour Equipment'!K89,'Optional-3'!I:I)+SUMIF('Mob-Demob'!B:B,'Budget-Labour Equipment'!K89,'Mob-Demob'!I:I))</f>
        <v>#N/A</v>
      </c>
      <c r="N89" s="186" t="e">
        <f>IF(K89="","",RANK(L89,$L$31:$L$135)+COUNTIF($L$31:L89,L89)-1)</f>
        <v>#N/A</v>
      </c>
      <c r="P89" s="183" t="e">
        <f t="shared" si="12"/>
        <v>#N/A</v>
      </c>
      <c r="R89" s="32">
        <v>59</v>
      </c>
      <c r="S89" s="31" t="e">
        <f t="shared" si="13"/>
        <v>#N/A</v>
      </c>
      <c r="T89" s="177" t="e">
        <f>IF(S89="","",VLOOKUP(S89,'Database Lab+Equip'!$G:$I,3,FALSE))</f>
        <v>#N/A</v>
      </c>
      <c r="U89" s="177" t="e">
        <f>IF(S89="","",(SUMIF('Installation 1'!B:B,'Budget-Labour Equipment'!S89,'Installation 1'!I:I)+SUMIF('Subcontract 2'!B:B,'Budget-Labour Equipment'!S89,'Subcontract 2'!I:I)+SUMIF('Optional-3'!B:B,'Budget-Labour Equipment'!S89,'Optional-3'!I:I)+SUMIF('Mob-Demob'!B:B,'Budget-Labour Equipment'!S89,'Mob-Demob'!I:I)+SUMIF(Prelims!B:B,'Budget-Labour Equipment'!S89,Prelims!I:I)))</f>
        <v>#N/A</v>
      </c>
      <c r="V89" s="178" t="e">
        <f t="shared" si="14"/>
        <v>#N/A</v>
      </c>
    </row>
    <row r="90" spans="1:22" x14ac:dyDescent="0.3">
      <c r="A90" s="57" t="str">
        <f>IF('Database Lab+Equip'!G31="","Equip. Resource",'Database Lab+Equip'!G31)</f>
        <v>3" Trash Pump</v>
      </c>
      <c r="B90" s="181">
        <f>IF(A90="Equip. Resource",0,VLOOKUP(A90,'Database Lab+Equip'!G:I,3,FALSE))</f>
        <v>144</v>
      </c>
      <c r="C90" s="181">
        <f>IF(SUMIF('Installation 1'!B:B,'Budget-Labour Equipment'!A90,'Installation 1'!I:I)+SUMIF('Subcontract 2'!B:B,'Budget-Labour Equipment'!A90,'Subcontract 2'!I:I)+SUMIF('Optional-3'!B:B,'Budget-Labour Equipment'!A90,'Optional-3'!I:I)+SUMIF('Mob-Demob'!B:B,'Budget-Labour Equipment'!A90,'Mob-Demob'!I:I)+SUMIF(Prelims!B:B,'Budget-Labour Equipment'!A90,Prelims!I:I)=0,0,(SUMIF('Installation 1'!B:B,'Budget-Labour Equipment'!A90,'Installation 1'!I:I)+SUMIF('Subcontract 2'!B:B,'Budget-Labour Equipment'!A90,'Subcontract 2'!I:I)+SUMIF('Optional-3'!B:B,'Budget-Labour Equipment'!A90,'Optional-3'!I:I)+SUMIF('Mob-Demob'!B:B,'Budget-Labour Equipment'!A90,'Mob-Demob'!I:I)+SUMIF(Prelims!B:B,'Budget-Labour Equipment'!A90,Prelims!I:I)))</f>
        <v>0</v>
      </c>
      <c r="D90" s="182">
        <f t="shared" si="8"/>
        <v>0</v>
      </c>
      <c r="E90" s="183">
        <f t="shared" si="9"/>
        <v>8.9999999999999992E-5</v>
      </c>
      <c r="F90" s="183" t="e">
        <f t="shared" si="10"/>
        <v>#REF!</v>
      </c>
      <c r="H90" s="183" t="e">
        <f t="shared" si="11"/>
        <v>#N/A</v>
      </c>
      <c r="J90" s="183">
        <v>60</v>
      </c>
      <c r="K90" s="184" t="e">
        <f t="shared" si="15"/>
        <v>#N/A</v>
      </c>
      <c r="L90" s="185" t="e">
        <f>IF(K90="","",VLOOKUP(K90,'Database Lab+Equip'!$G:$I,3,FALSE))</f>
        <v>#N/A</v>
      </c>
      <c r="M90" s="185" t="e">
        <f>IF(K90="","",SUMIF('Installation 1'!B:B,'Budget-Labour Equipment'!K90,'Installation 1'!I:I)+SUMIF('Subcontract 2'!B:B,'Budget-Labour Equipment'!K90,'Subcontract 2'!I:I)+SUMIF('Optional-3'!B:B,'Budget-Labour Equipment'!K90,'Optional-3'!I:I)+SUMIF('Mob-Demob'!B:B,'Budget-Labour Equipment'!K90,'Mob-Demob'!I:I))</f>
        <v>#N/A</v>
      </c>
      <c r="N90" s="186" t="e">
        <f>IF(K90="","",RANK(L90,$L$31:$L$135)+COUNTIF($L$31:L90,L90)-1)</f>
        <v>#N/A</v>
      </c>
      <c r="P90" s="183" t="e">
        <f t="shared" si="12"/>
        <v>#N/A</v>
      </c>
      <c r="R90" s="32">
        <v>60</v>
      </c>
      <c r="S90" s="31" t="e">
        <f t="shared" si="13"/>
        <v>#N/A</v>
      </c>
      <c r="T90" s="177" t="e">
        <f>IF(S90="","",VLOOKUP(S90,'Database Lab+Equip'!$G:$I,3,FALSE))</f>
        <v>#N/A</v>
      </c>
      <c r="U90" s="177" t="e">
        <f>IF(S90="","",(SUMIF('Installation 1'!B:B,'Budget-Labour Equipment'!S90,'Installation 1'!I:I)+SUMIF('Subcontract 2'!B:B,'Budget-Labour Equipment'!S90,'Subcontract 2'!I:I)+SUMIF('Optional-3'!B:B,'Budget-Labour Equipment'!S90,'Optional-3'!I:I)+SUMIF('Mob-Demob'!B:B,'Budget-Labour Equipment'!S90,'Mob-Demob'!I:I)+SUMIF(Prelims!B:B,'Budget-Labour Equipment'!S90,Prelims!I:I)))</f>
        <v>#N/A</v>
      </c>
      <c r="V90" s="178" t="e">
        <f t="shared" si="14"/>
        <v>#N/A</v>
      </c>
    </row>
    <row r="91" spans="1:22" x14ac:dyDescent="0.3">
      <c r="A91" s="57" t="str">
        <f>IF('Database Lab+Equip'!G32="","Equip. Resource",'Database Lab+Equip'!G32)</f>
        <v>4" Trash Pump</v>
      </c>
      <c r="B91" s="181">
        <f>IF(A91="Equip. Resource",0,VLOOKUP(A91,'Database Lab+Equip'!G:I,3,FALSE))</f>
        <v>180</v>
      </c>
      <c r="C91" s="181">
        <f>IF(SUMIF('Installation 1'!B:B,'Budget-Labour Equipment'!A91,'Installation 1'!I:I)+SUMIF('Subcontract 2'!B:B,'Budget-Labour Equipment'!A91,'Subcontract 2'!I:I)+SUMIF('Optional-3'!B:B,'Budget-Labour Equipment'!A91,'Optional-3'!I:I)+SUMIF('Mob-Demob'!B:B,'Budget-Labour Equipment'!A91,'Mob-Demob'!I:I)+SUMIF(Prelims!B:B,'Budget-Labour Equipment'!A91,Prelims!I:I)=0,0,(SUMIF('Installation 1'!B:B,'Budget-Labour Equipment'!A91,'Installation 1'!I:I)+SUMIF('Subcontract 2'!B:B,'Budget-Labour Equipment'!A91,'Subcontract 2'!I:I)+SUMIF('Optional-3'!B:B,'Budget-Labour Equipment'!A91,'Optional-3'!I:I)+SUMIF('Mob-Demob'!B:B,'Budget-Labour Equipment'!A91,'Mob-Demob'!I:I)+SUMIF(Prelims!B:B,'Budget-Labour Equipment'!A91,Prelims!I:I)))</f>
        <v>0</v>
      </c>
      <c r="D91" s="182">
        <f t="shared" si="8"/>
        <v>0</v>
      </c>
      <c r="E91" s="183">
        <f t="shared" si="9"/>
        <v>9.0999999999999989E-5</v>
      </c>
      <c r="F91" s="183" t="e">
        <f t="shared" si="10"/>
        <v>#REF!</v>
      </c>
      <c r="H91" s="183" t="e">
        <f t="shared" si="11"/>
        <v>#N/A</v>
      </c>
      <c r="J91" s="183">
        <v>61</v>
      </c>
      <c r="K91" s="184" t="e">
        <f t="shared" si="15"/>
        <v>#N/A</v>
      </c>
      <c r="L91" s="185" t="e">
        <f>IF(K91="","",VLOOKUP(K91,'Database Lab+Equip'!$G:$I,3,FALSE))</f>
        <v>#N/A</v>
      </c>
      <c r="M91" s="185" t="e">
        <f>IF(K91="","",SUMIF('Installation 1'!B:B,'Budget-Labour Equipment'!K91,'Installation 1'!I:I)+SUMIF('Subcontract 2'!B:B,'Budget-Labour Equipment'!K91,'Subcontract 2'!I:I)+SUMIF('Optional-3'!B:B,'Budget-Labour Equipment'!K91,'Optional-3'!I:I)+SUMIF('Mob-Demob'!B:B,'Budget-Labour Equipment'!K91,'Mob-Demob'!I:I))</f>
        <v>#N/A</v>
      </c>
      <c r="N91" s="186" t="e">
        <f>IF(K91="","",RANK(L91,$L$31:$L$135)+COUNTIF($L$31:L91,L91)-1)</f>
        <v>#N/A</v>
      </c>
      <c r="P91" s="183" t="e">
        <f t="shared" si="12"/>
        <v>#N/A</v>
      </c>
      <c r="R91" s="32">
        <v>61</v>
      </c>
      <c r="S91" s="31" t="e">
        <f t="shared" si="13"/>
        <v>#N/A</v>
      </c>
      <c r="T91" s="177" t="e">
        <f>IF(S91="","",VLOOKUP(S91,'Database Lab+Equip'!$G:$I,3,FALSE))</f>
        <v>#N/A</v>
      </c>
      <c r="U91" s="177" t="e">
        <f>IF(S91="","",(SUMIF('Installation 1'!B:B,'Budget-Labour Equipment'!S91,'Installation 1'!I:I)+SUMIF('Subcontract 2'!B:B,'Budget-Labour Equipment'!S91,'Subcontract 2'!I:I)+SUMIF('Optional-3'!B:B,'Budget-Labour Equipment'!S91,'Optional-3'!I:I)+SUMIF('Mob-Demob'!B:B,'Budget-Labour Equipment'!S91,'Mob-Demob'!I:I)+SUMIF(Prelims!B:B,'Budget-Labour Equipment'!S91,Prelims!I:I)))</f>
        <v>#N/A</v>
      </c>
      <c r="V91" s="178" t="e">
        <f t="shared" si="14"/>
        <v>#N/A</v>
      </c>
    </row>
    <row r="92" spans="1:22" x14ac:dyDescent="0.3">
      <c r="A92" s="57" t="e">
        <f>IF('Database Lab+Equip'!#REF!="","Equip. Resource",'Database Lab+Equip'!#REF!)</f>
        <v>#REF!</v>
      </c>
      <c r="B92" s="181" t="e">
        <f>IF(A92="Equip. Resource",0,VLOOKUP(A92,'Database Lab+Equip'!G:I,3,FALSE))</f>
        <v>#REF!</v>
      </c>
      <c r="C92" s="181">
        <f>IF(SUMIF('Installation 1'!B:B,'Budget-Labour Equipment'!A92,'Installation 1'!I:I)+SUMIF('Subcontract 2'!B:B,'Budget-Labour Equipment'!A92,'Subcontract 2'!I:I)+SUMIF('Optional-3'!B:B,'Budget-Labour Equipment'!A92,'Optional-3'!I:I)+SUMIF('Mob-Demob'!B:B,'Budget-Labour Equipment'!A92,'Mob-Demob'!I:I)+SUMIF(Prelims!B:B,'Budget-Labour Equipment'!A92,Prelims!I:I)=0,0,(SUMIF('Installation 1'!B:B,'Budget-Labour Equipment'!A92,'Installation 1'!I:I)+SUMIF('Subcontract 2'!B:B,'Budget-Labour Equipment'!A92,'Subcontract 2'!I:I)+SUMIF('Optional-3'!B:B,'Budget-Labour Equipment'!A92,'Optional-3'!I:I)+SUMIF('Mob-Demob'!B:B,'Budget-Labour Equipment'!A92,'Mob-Demob'!I:I)+SUMIF(Prelims!B:B,'Budget-Labour Equipment'!A92,Prelims!I:I)))</f>
        <v>0</v>
      </c>
      <c r="D92" s="182" t="e">
        <f t="shared" si="8"/>
        <v>#REF!</v>
      </c>
      <c r="E92" s="183" t="e">
        <f t="shared" si="9"/>
        <v>#REF!</v>
      </c>
      <c r="F92" s="183" t="e">
        <f t="shared" si="10"/>
        <v>#REF!</v>
      </c>
      <c r="H92" s="183" t="e">
        <f t="shared" si="11"/>
        <v>#N/A</v>
      </c>
      <c r="J92" s="183">
        <v>62</v>
      </c>
      <c r="K92" s="184" t="e">
        <f t="shared" si="15"/>
        <v>#N/A</v>
      </c>
      <c r="L92" s="185" t="e">
        <f>IF(K92="","",VLOOKUP(K92,'Database Lab+Equip'!$G:$I,3,FALSE))</f>
        <v>#N/A</v>
      </c>
      <c r="M92" s="185" t="e">
        <f>IF(K92="","",SUMIF('Installation 1'!B:B,'Budget-Labour Equipment'!K92,'Installation 1'!I:I)+SUMIF('Subcontract 2'!B:B,'Budget-Labour Equipment'!K92,'Subcontract 2'!I:I)+SUMIF('Optional-3'!B:B,'Budget-Labour Equipment'!K92,'Optional-3'!I:I)+SUMIF('Mob-Demob'!B:B,'Budget-Labour Equipment'!K92,'Mob-Demob'!I:I))</f>
        <v>#N/A</v>
      </c>
      <c r="N92" s="186" t="e">
        <f>IF(K92="","",RANK(L92,$L$31:$L$135)+COUNTIF($L$31:L92,L92)-1)</f>
        <v>#N/A</v>
      </c>
      <c r="P92" s="183" t="e">
        <f t="shared" si="12"/>
        <v>#N/A</v>
      </c>
      <c r="R92" s="32">
        <v>62</v>
      </c>
      <c r="S92" s="31" t="e">
        <f t="shared" si="13"/>
        <v>#N/A</v>
      </c>
      <c r="T92" s="177" t="e">
        <f>IF(S92="","",VLOOKUP(S92,'Database Lab+Equip'!$G:$I,3,FALSE))</f>
        <v>#N/A</v>
      </c>
      <c r="U92" s="177" t="e">
        <f>IF(S92="","",(SUMIF('Installation 1'!B:B,'Budget-Labour Equipment'!S92,'Installation 1'!I:I)+SUMIF('Subcontract 2'!B:B,'Budget-Labour Equipment'!S92,'Subcontract 2'!I:I)+SUMIF('Optional-3'!B:B,'Budget-Labour Equipment'!S92,'Optional-3'!I:I)+SUMIF('Mob-Demob'!B:B,'Budget-Labour Equipment'!S92,'Mob-Demob'!I:I)+SUMIF(Prelims!B:B,'Budget-Labour Equipment'!S92,Prelims!I:I)))</f>
        <v>#N/A</v>
      </c>
      <c r="V92" s="178" t="e">
        <f t="shared" si="14"/>
        <v>#N/A</v>
      </c>
    </row>
    <row r="93" spans="1:22" x14ac:dyDescent="0.3">
      <c r="A93" s="57" t="e">
        <f>IF('Database Lab+Equip'!#REF!="","Equip. Resource",'Database Lab+Equip'!#REF!)</f>
        <v>#REF!</v>
      </c>
      <c r="B93" s="181" t="e">
        <f>IF(A93="Equip. Resource",0,VLOOKUP(A93,'Database Lab+Equip'!G:I,3,FALSE))</f>
        <v>#REF!</v>
      </c>
      <c r="C93" s="181">
        <f>IF(SUMIF('Installation 1'!B:B,'Budget-Labour Equipment'!A93,'Installation 1'!I:I)+SUMIF('Subcontract 2'!B:B,'Budget-Labour Equipment'!A93,'Subcontract 2'!I:I)+SUMIF('Optional-3'!B:B,'Budget-Labour Equipment'!A93,'Optional-3'!I:I)+SUMIF('Mob-Demob'!B:B,'Budget-Labour Equipment'!A93,'Mob-Demob'!I:I)+SUMIF(Prelims!B:B,'Budget-Labour Equipment'!A93,Prelims!I:I)=0,0,(SUMIF('Installation 1'!B:B,'Budget-Labour Equipment'!A93,'Installation 1'!I:I)+SUMIF('Subcontract 2'!B:B,'Budget-Labour Equipment'!A93,'Subcontract 2'!I:I)+SUMIF('Optional-3'!B:B,'Budget-Labour Equipment'!A93,'Optional-3'!I:I)+SUMIF('Mob-Demob'!B:B,'Budget-Labour Equipment'!A93,'Mob-Demob'!I:I)+SUMIF(Prelims!B:B,'Budget-Labour Equipment'!A93,Prelims!I:I)))</f>
        <v>0</v>
      </c>
      <c r="D93" s="182" t="e">
        <f t="shared" si="8"/>
        <v>#REF!</v>
      </c>
      <c r="E93" s="183" t="e">
        <f t="shared" si="9"/>
        <v>#REF!</v>
      </c>
      <c r="F93" s="183" t="e">
        <f t="shared" si="10"/>
        <v>#REF!</v>
      </c>
      <c r="H93" s="183" t="e">
        <f t="shared" si="11"/>
        <v>#N/A</v>
      </c>
      <c r="J93" s="183">
        <v>63</v>
      </c>
      <c r="K93" s="184" t="e">
        <f t="shared" si="15"/>
        <v>#N/A</v>
      </c>
      <c r="L93" s="185" t="e">
        <f>IF(K93="","",VLOOKUP(K93,'Database Lab+Equip'!$G:$I,3,FALSE))</f>
        <v>#N/A</v>
      </c>
      <c r="M93" s="185" t="e">
        <f>IF(K93="","",SUMIF('Installation 1'!B:B,'Budget-Labour Equipment'!K93,'Installation 1'!I:I)+SUMIF('Subcontract 2'!B:B,'Budget-Labour Equipment'!K93,'Subcontract 2'!I:I)+SUMIF('Optional-3'!B:B,'Budget-Labour Equipment'!K93,'Optional-3'!I:I)+SUMIF('Mob-Demob'!B:B,'Budget-Labour Equipment'!K93,'Mob-Demob'!I:I))</f>
        <v>#N/A</v>
      </c>
      <c r="N93" s="186" t="e">
        <f>IF(K93="","",RANK(L93,$L$31:$L$135)+COUNTIF($L$31:L93,L93)-1)</f>
        <v>#N/A</v>
      </c>
      <c r="P93" s="183" t="e">
        <f t="shared" si="12"/>
        <v>#N/A</v>
      </c>
      <c r="R93" s="32">
        <v>63</v>
      </c>
      <c r="S93" s="31" t="e">
        <f t="shared" si="13"/>
        <v>#N/A</v>
      </c>
      <c r="T93" s="177" t="e">
        <f>IF(S93="","",VLOOKUP(S93,'Database Lab+Equip'!$G:$I,3,FALSE))</f>
        <v>#N/A</v>
      </c>
      <c r="U93" s="177" t="e">
        <f>IF(S93="","",(SUMIF('Installation 1'!B:B,'Budget-Labour Equipment'!S93,'Installation 1'!I:I)+SUMIF('Subcontract 2'!B:B,'Budget-Labour Equipment'!S93,'Subcontract 2'!I:I)+SUMIF('Optional-3'!B:B,'Budget-Labour Equipment'!S93,'Optional-3'!I:I)+SUMIF('Mob-Demob'!B:B,'Budget-Labour Equipment'!S93,'Mob-Demob'!I:I)+SUMIF(Prelims!B:B,'Budget-Labour Equipment'!S93,Prelims!I:I)))</f>
        <v>#N/A</v>
      </c>
      <c r="V93" s="178" t="e">
        <f t="shared" si="14"/>
        <v>#N/A</v>
      </c>
    </row>
    <row r="94" spans="1:22" x14ac:dyDescent="0.3">
      <c r="A94" s="57" t="e">
        <f>IF('Database Lab+Equip'!#REF!="","Equip. Resource",'Database Lab+Equip'!#REF!)</f>
        <v>#REF!</v>
      </c>
      <c r="B94" s="181" t="e">
        <f>IF(A94="Equip. Resource",0,VLOOKUP(A94,'Database Lab+Equip'!G:I,3,FALSE))</f>
        <v>#REF!</v>
      </c>
      <c r="C94" s="181">
        <f>IF(SUMIF('Installation 1'!B:B,'Budget-Labour Equipment'!A94,'Installation 1'!I:I)+SUMIF('Subcontract 2'!B:B,'Budget-Labour Equipment'!A94,'Subcontract 2'!I:I)+SUMIF('Optional-3'!B:B,'Budget-Labour Equipment'!A94,'Optional-3'!I:I)+SUMIF('Mob-Demob'!B:B,'Budget-Labour Equipment'!A94,'Mob-Demob'!I:I)+SUMIF(Prelims!B:B,'Budget-Labour Equipment'!A94,Prelims!I:I)=0,0,(SUMIF('Installation 1'!B:B,'Budget-Labour Equipment'!A94,'Installation 1'!I:I)+SUMIF('Subcontract 2'!B:B,'Budget-Labour Equipment'!A94,'Subcontract 2'!I:I)+SUMIF('Optional-3'!B:B,'Budget-Labour Equipment'!A94,'Optional-3'!I:I)+SUMIF('Mob-Demob'!B:B,'Budget-Labour Equipment'!A94,'Mob-Demob'!I:I)+SUMIF(Prelims!B:B,'Budget-Labour Equipment'!A94,Prelims!I:I)))</f>
        <v>0</v>
      </c>
      <c r="D94" s="182" t="e">
        <f t="shared" si="8"/>
        <v>#REF!</v>
      </c>
      <c r="E94" s="183" t="e">
        <f t="shared" si="9"/>
        <v>#REF!</v>
      </c>
      <c r="F94" s="183" t="e">
        <f t="shared" si="10"/>
        <v>#REF!</v>
      </c>
      <c r="H94" s="183" t="e">
        <f t="shared" si="11"/>
        <v>#N/A</v>
      </c>
      <c r="J94" s="183">
        <v>64</v>
      </c>
      <c r="K94" s="184" t="e">
        <f t="shared" si="15"/>
        <v>#N/A</v>
      </c>
      <c r="L94" s="185" t="e">
        <f>IF(K94="","",VLOOKUP(K94,'Database Lab+Equip'!$G:$I,3,FALSE))</f>
        <v>#N/A</v>
      </c>
      <c r="M94" s="185" t="e">
        <f>IF(K94="","",SUMIF('Installation 1'!B:B,'Budget-Labour Equipment'!K94,'Installation 1'!I:I)+SUMIF('Subcontract 2'!B:B,'Budget-Labour Equipment'!K94,'Subcontract 2'!I:I)+SUMIF('Optional-3'!B:B,'Budget-Labour Equipment'!K94,'Optional-3'!I:I)+SUMIF('Mob-Demob'!B:B,'Budget-Labour Equipment'!K94,'Mob-Demob'!I:I))</f>
        <v>#N/A</v>
      </c>
      <c r="N94" s="186" t="e">
        <f>IF(K94="","",RANK(L94,$L$31:$L$135)+COUNTIF($L$31:L94,L94)-1)</f>
        <v>#N/A</v>
      </c>
      <c r="P94" s="183" t="e">
        <f t="shared" si="12"/>
        <v>#N/A</v>
      </c>
      <c r="R94" s="32">
        <v>64</v>
      </c>
      <c r="S94" s="31" t="e">
        <f t="shared" si="13"/>
        <v>#N/A</v>
      </c>
      <c r="T94" s="177" t="e">
        <f>IF(S94="","",VLOOKUP(S94,'Database Lab+Equip'!$G:$I,3,FALSE))</f>
        <v>#N/A</v>
      </c>
      <c r="U94" s="177" t="e">
        <f>IF(S94="","",(SUMIF('Installation 1'!B:B,'Budget-Labour Equipment'!S94,'Installation 1'!I:I)+SUMIF('Subcontract 2'!B:B,'Budget-Labour Equipment'!S94,'Subcontract 2'!I:I)+SUMIF('Optional-3'!B:B,'Budget-Labour Equipment'!S94,'Optional-3'!I:I)+SUMIF('Mob-Demob'!B:B,'Budget-Labour Equipment'!S94,'Mob-Demob'!I:I)+SUMIF(Prelims!B:B,'Budget-Labour Equipment'!S94,Prelims!I:I)))</f>
        <v>#N/A</v>
      </c>
      <c r="V94" s="178" t="e">
        <f t="shared" si="14"/>
        <v>#N/A</v>
      </c>
    </row>
    <row r="95" spans="1:22" x14ac:dyDescent="0.3">
      <c r="A95" s="57" t="str">
        <f>IF('Database Lab+Equip'!G33="","Equip. Resource",'Database Lab+Equip'!G33)</f>
        <v>Pressure Testing Pump - 2200kPa</v>
      </c>
      <c r="B95" s="181">
        <f>IF(A95="Equip. Resource",0,VLOOKUP(A95,'Database Lab+Equip'!G:I,3,FALSE))</f>
        <v>360</v>
      </c>
      <c r="C95" s="181">
        <f>IF(SUMIF('Installation 1'!B:B,'Budget-Labour Equipment'!A95,'Installation 1'!I:I)+SUMIF('Subcontract 2'!B:B,'Budget-Labour Equipment'!A95,'Subcontract 2'!I:I)+SUMIF('Optional-3'!B:B,'Budget-Labour Equipment'!A95,'Optional-3'!I:I)+SUMIF('Mob-Demob'!B:B,'Budget-Labour Equipment'!A95,'Mob-Demob'!I:I)+SUMIF(Prelims!B:B,'Budget-Labour Equipment'!A95,Prelims!I:I)=0,0,(SUMIF('Installation 1'!B:B,'Budget-Labour Equipment'!A95,'Installation 1'!I:I)+SUMIF('Subcontract 2'!B:B,'Budget-Labour Equipment'!A95,'Subcontract 2'!I:I)+SUMIF('Optional-3'!B:B,'Budget-Labour Equipment'!A95,'Optional-3'!I:I)+SUMIF('Mob-Demob'!B:B,'Budget-Labour Equipment'!A95,'Mob-Demob'!I:I)+SUMIF(Prelims!B:B,'Budget-Labour Equipment'!A95,Prelims!I:I)))</f>
        <v>0</v>
      </c>
      <c r="D95" s="182">
        <f t="shared" si="8"/>
        <v>0</v>
      </c>
      <c r="E95" s="183">
        <f t="shared" si="9"/>
        <v>9.4999999999999992E-5</v>
      </c>
      <c r="F95" s="183" t="e">
        <f t="shared" si="10"/>
        <v>#REF!</v>
      </c>
      <c r="H95" s="183" t="e">
        <f t="shared" si="11"/>
        <v>#N/A</v>
      </c>
      <c r="J95" s="183">
        <v>65</v>
      </c>
      <c r="K95" s="184" t="e">
        <f t="shared" si="15"/>
        <v>#N/A</v>
      </c>
      <c r="L95" s="185" t="e">
        <f>IF(K95="","",VLOOKUP(K95,'Database Lab+Equip'!$G:$I,3,FALSE))</f>
        <v>#N/A</v>
      </c>
      <c r="M95" s="185" t="e">
        <f>IF(K95="","",SUMIF('Installation 1'!B:B,'Budget-Labour Equipment'!K95,'Installation 1'!I:I)+SUMIF('Subcontract 2'!B:B,'Budget-Labour Equipment'!K95,'Subcontract 2'!I:I)+SUMIF('Optional-3'!B:B,'Budget-Labour Equipment'!K95,'Optional-3'!I:I)+SUMIF('Mob-Demob'!B:B,'Budget-Labour Equipment'!K95,'Mob-Demob'!I:I))</f>
        <v>#N/A</v>
      </c>
      <c r="N95" s="186" t="e">
        <f>IF(K95="","",RANK(L95,$L$31:$L$135)+COUNTIF($L$31:L95,L95)-1)</f>
        <v>#N/A</v>
      </c>
      <c r="P95" s="183" t="e">
        <f t="shared" si="12"/>
        <v>#N/A</v>
      </c>
      <c r="R95" s="32">
        <v>65</v>
      </c>
      <c r="S95" s="31" t="e">
        <f t="shared" si="13"/>
        <v>#N/A</v>
      </c>
      <c r="T95" s="177" t="e">
        <f>IF(S95="","",VLOOKUP(S95,'Database Lab+Equip'!$G:$I,3,FALSE))</f>
        <v>#N/A</v>
      </c>
      <c r="U95" s="177" t="e">
        <f>IF(S95="","",(SUMIF('Installation 1'!B:B,'Budget-Labour Equipment'!S95,'Installation 1'!I:I)+SUMIF('Subcontract 2'!B:B,'Budget-Labour Equipment'!S95,'Subcontract 2'!I:I)+SUMIF('Optional-3'!B:B,'Budget-Labour Equipment'!S95,'Optional-3'!I:I)+SUMIF('Mob-Demob'!B:B,'Budget-Labour Equipment'!S95,'Mob-Demob'!I:I)+SUMIF(Prelims!B:B,'Budget-Labour Equipment'!S95,Prelims!I:I)))</f>
        <v>#N/A</v>
      </c>
      <c r="V95" s="178" t="e">
        <f t="shared" si="14"/>
        <v>#N/A</v>
      </c>
    </row>
    <row r="96" spans="1:22" x14ac:dyDescent="0.3">
      <c r="A96" s="57" t="str">
        <f>IF('Database Lab+Equip'!G34="","Equip. Resource",'Database Lab+Equip'!G34)</f>
        <v>Data Logger</v>
      </c>
      <c r="B96" s="181">
        <f>IF(A96="Equip. Resource",0,VLOOKUP(A96,'Database Lab+Equip'!G:I,3,FALSE))</f>
        <v>90</v>
      </c>
      <c r="C96" s="181">
        <f>IF(SUMIF('Installation 1'!B:B,'Budget-Labour Equipment'!A96,'Installation 1'!I:I)+SUMIF('Subcontract 2'!B:B,'Budget-Labour Equipment'!A96,'Subcontract 2'!I:I)+SUMIF('Optional-3'!B:B,'Budget-Labour Equipment'!A96,'Optional-3'!I:I)+SUMIF('Mob-Demob'!B:B,'Budget-Labour Equipment'!A96,'Mob-Demob'!I:I)+SUMIF(Prelims!B:B,'Budget-Labour Equipment'!A96,Prelims!I:I)=0,0,(SUMIF('Installation 1'!B:B,'Budget-Labour Equipment'!A96,'Installation 1'!I:I)+SUMIF('Subcontract 2'!B:B,'Budget-Labour Equipment'!A96,'Subcontract 2'!I:I)+SUMIF('Optional-3'!B:B,'Budget-Labour Equipment'!A96,'Optional-3'!I:I)+SUMIF('Mob-Demob'!B:B,'Budget-Labour Equipment'!A96,'Mob-Demob'!I:I)+SUMIF(Prelims!B:B,'Budget-Labour Equipment'!A96,Prelims!I:I)))</f>
        <v>0</v>
      </c>
      <c r="D96" s="182">
        <f t="shared" ref="D96:D135" si="16">IF(B96=0,0,C96/B96)</f>
        <v>0</v>
      </c>
      <c r="E96" s="183">
        <f t="shared" ref="E96:E135" si="17">D96+0.000001*ROW()</f>
        <v>9.6000000000000002E-5</v>
      </c>
      <c r="F96" s="183" t="e">
        <f t="shared" ref="F96:F135" si="18">RANK(E96,$E$31:$E$135,0)</f>
        <v>#REF!</v>
      </c>
      <c r="H96" s="183" t="e">
        <f t="shared" ref="H96:H135" si="19">MATCH(J96,$F$31:$F$135,0)</f>
        <v>#N/A</v>
      </c>
      <c r="J96" s="183">
        <v>66</v>
      </c>
      <c r="K96" s="184" t="e">
        <f t="shared" ref="K96:K135" si="20">IF(VLOOKUP((INDEX($A$31:$A$135,H96)),$A$31:$D$135,4,FALSE)=0,"",(INDEX($A$31:$A$135,H96)))</f>
        <v>#N/A</v>
      </c>
      <c r="L96" s="185" t="e">
        <f>IF(K96="","",VLOOKUP(K96,'Database Lab+Equip'!$G:$I,3,FALSE))</f>
        <v>#N/A</v>
      </c>
      <c r="M96" s="185" t="e">
        <f>IF(K96="","",SUMIF('Installation 1'!B:B,'Budget-Labour Equipment'!K96,'Installation 1'!I:I)+SUMIF('Subcontract 2'!B:B,'Budget-Labour Equipment'!K96,'Subcontract 2'!I:I)+SUMIF('Optional-3'!B:B,'Budget-Labour Equipment'!K96,'Optional-3'!I:I)+SUMIF('Mob-Demob'!B:B,'Budget-Labour Equipment'!K96,'Mob-Demob'!I:I))</f>
        <v>#N/A</v>
      </c>
      <c r="N96" s="186" t="e">
        <f>IF(K96="","",RANK(L96,$L$31:$L$135)+COUNTIF($L$31:L96,L96)-1)</f>
        <v>#N/A</v>
      </c>
      <c r="P96" s="183" t="e">
        <f t="shared" ref="P96:P135" si="21">MATCH(R96,$N$31:$N$135,0)</f>
        <v>#N/A</v>
      </c>
      <c r="R96" s="32">
        <v>66</v>
      </c>
      <c r="S96" s="31" t="e">
        <f t="shared" ref="S96:S135" si="22">IF(K96="","",(INDEX($K$31:$K$135,P96,1)))</f>
        <v>#N/A</v>
      </c>
      <c r="T96" s="177" t="e">
        <f>IF(S96="","",VLOOKUP(S96,'Database Lab+Equip'!$G:$I,3,FALSE))</f>
        <v>#N/A</v>
      </c>
      <c r="U96" s="177" t="e">
        <f>IF(S96="","",(SUMIF('Installation 1'!B:B,'Budget-Labour Equipment'!S96,'Installation 1'!I:I)+SUMIF('Subcontract 2'!B:B,'Budget-Labour Equipment'!S96,'Subcontract 2'!I:I)+SUMIF('Optional-3'!B:B,'Budget-Labour Equipment'!S96,'Optional-3'!I:I)+SUMIF('Mob-Demob'!B:B,'Budget-Labour Equipment'!S96,'Mob-Demob'!I:I)+SUMIF(Prelims!B:B,'Budget-Labour Equipment'!S96,Prelims!I:I)))</f>
        <v>#N/A</v>
      </c>
      <c r="V96" s="178" t="e">
        <f t="shared" ref="V96:V135" si="23">IF(S96="","",U96/T96)</f>
        <v>#N/A</v>
      </c>
    </row>
    <row r="97" spans="1:22" x14ac:dyDescent="0.3">
      <c r="A97" s="57" t="str">
        <f>IF('Database Lab+Equip'!G35="","Equip. Resource",'Database Lab+Equip'!G35)</f>
        <v>Socket Welder c/w dies</v>
      </c>
      <c r="B97" s="181">
        <f>IF(A97="Equip. Resource",0,VLOOKUP(A97,'Database Lab+Equip'!G:I,3,FALSE))</f>
        <v>153</v>
      </c>
      <c r="C97" s="181">
        <f>IF(SUMIF('Installation 1'!B:B,'Budget-Labour Equipment'!A97,'Installation 1'!I:I)+SUMIF('Subcontract 2'!B:B,'Budget-Labour Equipment'!A97,'Subcontract 2'!I:I)+SUMIF('Optional-3'!B:B,'Budget-Labour Equipment'!A97,'Optional-3'!I:I)+SUMIF('Mob-Demob'!B:B,'Budget-Labour Equipment'!A97,'Mob-Demob'!I:I)+SUMIF(Prelims!B:B,'Budget-Labour Equipment'!A97,Prelims!I:I)=0,0,(SUMIF('Installation 1'!B:B,'Budget-Labour Equipment'!A97,'Installation 1'!I:I)+SUMIF('Subcontract 2'!B:B,'Budget-Labour Equipment'!A97,'Subcontract 2'!I:I)+SUMIF('Optional-3'!B:B,'Budget-Labour Equipment'!A97,'Optional-3'!I:I)+SUMIF('Mob-Demob'!B:B,'Budget-Labour Equipment'!A97,'Mob-Demob'!I:I)+SUMIF(Prelims!B:B,'Budget-Labour Equipment'!A97,Prelims!I:I)))</f>
        <v>0</v>
      </c>
      <c r="D97" s="182">
        <f t="shared" si="16"/>
        <v>0</v>
      </c>
      <c r="E97" s="183">
        <f t="shared" si="17"/>
        <v>9.7E-5</v>
      </c>
      <c r="F97" s="183" t="e">
        <f t="shared" si="18"/>
        <v>#REF!</v>
      </c>
      <c r="H97" s="183" t="e">
        <f t="shared" si="19"/>
        <v>#N/A</v>
      </c>
      <c r="J97" s="183">
        <v>67</v>
      </c>
      <c r="K97" s="184" t="e">
        <f t="shared" si="20"/>
        <v>#N/A</v>
      </c>
      <c r="L97" s="185" t="e">
        <f>IF(K97="","",VLOOKUP(K97,'Database Lab+Equip'!$G:$I,3,FALSE))</f>
        <v>#N/A</v>
      </c>
      <c r="M97" s="185" t="e">
        <f>IF(K97="","",SUMIF('Installation 1'!B:B,'Budget-Labour Equipment'!K97,'Installation 1'!I:I)+SUMIF('Subcontract 2'!B:B,'Budget-Labour Equipment'!K97,'Subcontract 2'!I:I)+SUMIF('Optional-3'!B:B,'Budget-Labour Equipment'!K97,'Optional-3'!I:I)+SUMIF('Mob-Demob'!B:B,'Budget-Labour Equipment'!K97,'Mob-Demob'!I:I))</f>
        <v>#N/A</v>
      </c>
      <c r="N97" s="186" t="e">
        <f>IF(K97="","",RANK(L97,$L$31:$L$135)+COUNTIF($L$31:L97,L97)-1)</f>
        <v>#N/A</v>
      </c>
      <c r="P97" s="183" t="e">
        <f t="shared" si="21"/>
        <v>#N/A</v>
      </c>
      <c r="R97" s="32">
        <v>67</v>
      </c>
      <c r="S97" s="31" t="e">
        <f t="shared" si="22"/>
        <v>#N/A</v>
      </c>
      <c r="T97" s="177" t="e">
        <f>IF(S97="","",VLOOKUP(S97,'Database Lab+Equip'!$G:$I,3,FALSE))</f>
        <v>#N/A</v>
      </c>
      <c r="U97" s="177" t="e">
        <f>IF(S97="","",(SUMIF('Installation 1'!B:B,'Budget-Labour Equipment'!S97,'Installation 1'!I:I)+SUMIF('Subcontract 2'!B:B,'Budget-Labour Equipment'!S97,'Subcontract 2'!I:I)+SUMIF('Optional-3'!B:B,'Budget-Labour Equipment'!S97,'Optional-3'!I:I)+SUMIF('Mob-Demob'!B:B,'Budget-Labour Equipment'!S97,'Mob-Demob'!I:I)+SUMIF(Prelims!B:B,'Budget-Labour Equipment'!S97,Prelims!I:I)))</f>
        <v>#N/A</v>
      </c>
      <c r="V97" s="178" t="e">
        <f t="shared" si="23"/>
        <v>#N/A</v>
      </c>
    </row>
    <row r="98" spans="1:22" x14ac:dyDescent="0.3">
      <c r="A98" s="57" t="str">
        <f>IF('Database Lab+Equip'!G36="","Equip. Resource",'Database Lab+Equip'!G36)</f>
        <v>LF110 Polywelding Machine c/w dies</v>
      </c>
      <c r="B98" s="181">
        <f>IF(A98="Equip. Resource",0,VLOOKUP(A98,'Database Lab+Equip'!G:I,3,FALSE))</f>
        <v>90</v>
      </c>
      <c r="C98" s="181">
        <f>IF(SUMIF('Installation 1'!B:B,'Budget-Labour Equipment'!A98,'Installation 1'!I:I)+SUMIF('Subcontract 2'!B:B,'Budget-Labour Equipment'!A98,'Subcontract 2'!I:I)+SUMIF('Optional-3'!B:B,'Budget-Labour Equipment'!A98,'Optional-3'!I:I)+SUMIF('Mob-Demob'!B:B,'Budget-Labour Equipment'!A98,'Mob-Demob'!I:I)+SUMIF(Prelims!B:B,'Budget-Labour Equipment'!A98,Prelims!I:I)=0,0,(SUMIF('Installation 1'!B:B,'Budget-Labour Equipment'!A98,'Installation 1'!I:I)+SUMIF('Subcontract 2'!B:B,'Budget-Labour Equipment'!A98,'Subcontract 2'!I:I)+SUMIF('Optional-3'!B:B,'Budget-Labour Equipment'!A98,'Optional-3'!I:I)+SUMIF('Mob-Demob'!B:B,'Budget-Labour Equipment'!A98,'Mob-Demob'!I:I)+SUMIF(Prelims!B:B,'Budget-Labour Equipment'!A98,Prelims!I:I)))</f>
        <v>0</v>
      </c>
      <c r="D98" s="182">
        <f t="shared" si="16"/>
        <v>0</v>
      </c>
      <c r="E98" s="183">
        <f t="shared" si="17"/>
        <v>9.7999999999999997E-5</v>
      </c>
      <c r="F98" s="183" t="e">
        <f t="shared" si="18"/>
        <v>#REF!</v>
      </c>
      <c r="H98" s="183" t="e">
        <f t="shared" si="19"/>
        <v>#N/A</v>
      </c>
      <c r="J98" s="183">
        <v>68</v>
      </c>
      <c r="K98" s="184" t="e">
        <f t="shared" si="20"/>
        <v>#N/A</v>
      </c>
      <c r="L98" s="185" t="e">
        <f>IF(K98="","",VLOOKUP(K98,'Database Lab+Equip'!$G:$I,3,FALSE))</f>
        <v>#N/A</v>
      </c>
      <c r="M98" s="185" t="e">
        <f>IF(K98="","",SUMIF('Installation 1'!B:B,'Budget-Labour Equipment'!K98,'Installation 1'!I:I)+SUMIF('Subcontract 2'!B:B,'Budget-Labour Equipment'!K98,'Subcontract 2'!I:I)+SUMIF('Optional-3'!B:B,'Budget-Labour Equipment'!K98,'Optional-3'!I:I)+SUMIF('Mob-Demob'!B:B,'Budget-Labour Equipment'!K98,'Mob-Demob'!I:I))</f>
        <v>#N/A</v>
      </c>
      <c r="N98" s="186" t="e">
        <f>IF(K98="","",RANK(L98,$L$31:$L$135)+COUNTIF($L$31:L98,L98)-1)</f>
        <v>#N/A</v>
      </c>
      <c r="P98" s="183" t="e">
        <f t="shared" si="21"/>
        <v>#N/A</v>
      </c>
      <c r="R98" s="32">
        <v>68</v>
      </c>
      <c r="S98" s="31" t="e">
        <f t="shared" si="22"/>
        <v>#N/A</v>
      </c>
      <c r="T98" s="177" t="e">
        <f>IF(S98="","",VLOOKUP(S98,'Database Lab+Equip'!$G:$I,3,FALSE))</f>
        <v>#N/A</v>
      </c>
      <c r="U98" s="177" t="e">
        <f>IF(S98="","",(SUMIF('Installation 1'!B:B,'Budget-Labour Equipment'!S98,'Installation 1'!I:I)+SUMIF('Subcontract 2'!B:B,'Budget-Labour Equipment'!S98,'Subcontract 2'!I:I)+SUMIF('Optional-3'!B:B,'Budget-Labour Equipment'!S98,'Optional-3'!I:I)+SUMIF('Mob-Demob'!B:B,'Budget-Labour Equipment'!S98,'Mob-Demob'!I:I)+SUMIF(Prelims!B:B,'Budget-Labour Equipment'!S98,Prelims!I:I)))</f>
        <v>#N/A</v>
      </c>
      <c r="V98" s="178" t="e">
        <f t="shared" si="23"/>
        <v>#N/A</v>
      </c>
    </row>
    <row r="99" spans="1:22" x14ac:dyDescent="0.3">
      <c r="A99" s="57" t="str">
        <f>IF('Database Lab+Equip'!G37="","Equip. Resource",'Database Lab+Equip'!G37)</f>
        <v>HF225 Polywelding Machine c/w dies</v>
      </c>
      <c r="B99" s="181">
        <f>IF(A99="Equip. Resource",0,VLOOKUP(A99,'Database Lab+Equip'!G:I,3,FALSE))</f>
        <v>135</v>
      </c>
      <c r="C99" s="181">
        <f>IF(SUMIF('Installation 1'!B:B,'Budget-Labour Equipment'!A99,'Installation 1'!I:I)+SUMIF('Subcontract 2'!B:B,'Budget-Labour Equipment'!A99,'Subcontract 2'!I:I)+SUMIF('Optional-3'!B:B,'Budget-Labour Equipment'!A99,'Optional-3'!I:I)+SUMIF('Mob-Demob'!B:B,'Budget-Labour Equipment'!A99,'Mob-Demob'!I:I)+SUMIF(Prelims!B:B,'Budget-Labour Equipment'!A99,Prelims!I:I)=0,0,(SUMIF('Installation 1'!B:B,'Budget-Labour Equipment'!A99,'Installation 1'!I:I)+SUMIF('Subcontract 2'!B:B,'Budget-Labour Equipment'!A99,'Subcontract 2'!I:I)+SUMIF('Optional-3'!B:B,'Budget-Labour Equipment'!A99,'Optional-3'!I:I)+SUMIF('Mob-Demob'!B:B,'Budget-Labour Equipment'!A99,'Mob-Demob'!I:I)+SUMIF(Prelims!B:B,'Budget-Labour Equipment'!A99,Prelims!I:I)))</f>
        <v>0</v>
      </c>
      <c r="D99" s="182">
        <f t="shared" si="16"/>
        <v>0</v>
      </c>
      <c r="E99" s="183">
        <f t="shared" si="17"/>
        <v>9.8999999999999994E-5</v>
      </c>
      <c r="F99" s="183" t="e">
        <f t="shared" si="18"/>
        <v>#REF!</v>
      </c>
      <c r="H99" s="183" t="e">
        <f t="shared" si="19"/>
        <v>#N/A</v>
      </c>
      <c r="J99" s="183">
        <v>69</v>
      </c>
      <c r="K99" s="184" t="e">
        <f t="shared" si="20"/>
        <v>#N/A</v>
      </c>
      <c r="L99" s="185" t="e">
        <f>IF(K99="","",VLOOKUP(K99,'Database Lab+Equip'!$G:$I,3,FALSE))</f>
        <v>#N/A</v>
      </c>
      <c r="M99" s="185" t="e">
        <f>IF(K99="","",SUMIF('Installation 1'!B:B,'Budget-Labour Equipment'!K99,'Installation 1'!I:I)+SUMIF('Subcontract 2'!B:B,'Budget-Labour Equipment'!K99,'Subcontract 2'!I:I)+SUMIF('Optional-3'!B:B,'Budget-Labour Equipment'!K99,'Optional-3'!I:I)+SUMIF('Mob-Demob'!B:B,'Budget-Labour Equipment'!K99,'Mob-Demob'!I:I))</f>
        <v>#N/A</v>
      </c>
      <c r="N99" s="186" t="e">
        <f>IF(K99="","",RANK(L99,$L$31:$L$135)+COUNTIF($L$31:L99,L99)-1)</f>
        <v>#N/A</v>
      </c>
      <c r="P99" s="183" t="e">
        <f t="shared" si="21"/>
        <v>#N/A</v>
      </c>
      <c r="R99" s="32">
        <v>69</v>
      </c>
      <c r="S99" s="31" t="e">
        <f t="shared" si="22"/>
        <v>#N/A</v>
      </c>
      <c r="T99" s="177" t="e">
        <f>IF(S99="","",VLOOKUP(S99,'Database Lab+Equip'!$G:$I,3,FALSE))</f>
        <v>#N/A</v>
      </c>
      <c r="U99" s="177" t="e">
        <f>IF(S99="","",(SUMIF('Installation 1'!B:B,'Budget-Labour Equipment'!S99,'Installation 1'!I:I)+SUMIF('Subcontract 2'!B:B,'Budget-Labour Equipment'!S99,'Subcontract 2'!I:I)+SUMIF('Optional-3'!B:B,'Budget-Labour Equipment'!S99,'Optional-3'!I:I)+SUMIF('Mob-Demob'!B:B,'Budget-Labour Equipment'!S99,'Mob-Demob'!I:I)+SUMIF(Prelims!B:B,'Budget-Labour Equipment'!S99,Prelims!I:I)))</f>
        <v>#N/A</v>
      </c>
      <c r="V99" s="178" t="e">
        <f t="shared" si="23"/>
        <v>#N/A</v>
      </c>
    </row>
    <row r="100" spans="1:22" x14ac:dyDescent="0.3">
      <c r="A100" s="57" t="str">
        <f>IF('Database Lab+Equip'!G38="","Equip. Resource",'Database Lab+Equip'!G38)</f>
        <v>HF350 Polywelding Machine c/w dies</v>
      </c>
      <c r="B100" s="181">
        <f>IF(A100="Equip. Resource",0,VLOOKUP(A100,'Database Lab+Equip'!G:I,3,FALSE))</f>
        <v>198</v>
      </c>
      <c r="C100" s="181">
        <f>IF(SUMIF('Installation 1'!B:B,'Budget-Labour Equipment'!A100,'Installation 1'!I:I)+SUMIF('Subcontract 2'!B:B,'Budget-Labour Equipment'!A100,'Subcontract 2'!I:I)+SUMIF('Optional-3'!B:B,'Budget-Labour Equipment'!A100,'Optional-3'!I:I)+SUMIF('Mob-Demob'!B:B,'Budget-Labour Equipment'!A100,'Mob-Demob'!I:I)+SUMIF(Prelims!B:B,'Budget-Labour Equipment'!A100,Prelims!I:I)=0,0,(SUMIF('Installation 1'!B:B,'Budget-Labour Equipment'!A100,'Installation 1'!I:I)+SUMIF('Subcontract 2'!B:B,'Budget-Labour Equipment'!A100,'Subcontract 2'!I:I)+SUMIF('Optional-3'!B:B,'Budget-Labour Equipment'!A100,'Optional-3'!I:I)+SUMIF('Mob-Demob'!B:B,'Budget-Labour Equipment'!A100,'Mob-Demob'!I:I)+SUMIF(Prelims!B:B,'Budget-Labour Equipment'!A100,Prelims!I:I)))</f>
        <v>1143.45</v>
      </c>
      <c r="D100" s="182">
        <f t="shared" si="16"/>
        <v>5.7750000000000004</v>
      </c>
      <c r="E100" s="183">
        <f t="shared" si="17"/>
        <v>5.7751000000000001</v>
      </c>
      <c r="F100" s="183" t="e">
        <f t="shared" si="18"/>
        <v>#REF!</v>
      </c>
      <c r="H100" s="183" t="e">
        <f t="shared" si="19"/>
        <v>#N/A</v>
      </c>
      <c r="J100" s="183">
        <v>70</v>
      </c>
      <c r="K100" s="184" t="e">
        <f t="shared" si="20"/>
        <v>#N/A</v>
      </c>
      <c r="L100" s="185" t="e">
        <f>IF(K100="","",VLOOKUP(K100,'Database Lab+Equip'!$G:$I,3,FALSE))</f>
        <v>#N/A</v>
      </c>
      <c r="M100" s="185" t="e">
        <f>IF(K100="","",SUMIF('Installation 1'!B:B,'Budget-Labour Equipment'!K100,'Installation 1'!I:I)+SUMIF('Subcontract 2'!B:B,'Budget-Labour Equipment'!K100,'Subcontract 2'!I:I)+SUMIF('Optional-3'!B:B,'Budget-Labour Equipment'!K100,'Optional-3'!I:I)+SUMIF('Mob-Demob'!B:B,'Budget-Labour Equipment'!K100,'Mob-Demob'!I:I))</f>
        <v>#N/A</v>
      </c>
      <c r="N100" s="186" t="e">
        <f>IF(K100="","",RANK(L100,$L$31:$L$135)+COUNTIF($L$31:L100,L100)-1)</f>
        <v>#N/A</v>
      </c>
      <c r="P100" s="183" t="e">
        <f t="shared" si="21"/>
        <v>#N/A</v>
      </c>
      <c r="R100" s="32">
        <v>70</v>
      </c>
      <c r="S100" s="31" t="e">
        <f t="shared" si="22"/>
        <v>#N/A</v>
      </c>
      <c r="T100" s="177" t="e">
        <f>IF(S100="","",VLOOKUP(S100,'Database Lab+Equip'!$G:$I,3,FALSE))</f>
        <v>#N/A</v>
      </c>
      <c r="U100" s="177" t="e">
        <f>IF(S100="","",(SUMIF('Installation 1'!B:B,'Budget-Labour Equipment'!S100,'Installation 1'!I:I)+SUMIF('Subcontract 2'!B:B,'Budget-Labour Equipment'!S100,'Subcontract 2'!I:I)+SUMIF('Optional-3'!B:B,'Budget-Labour Equipment'!S100,'Optional-3'!I:I)+SUMIF('Mob-Demob'!B:B,'Budget-Labour Equipment'!S100,'Mob-Demob'!I:I)+SUMIF(Prelims!B:B,'Budget-Labour Equipment'!S100,Prelims!I:I)))</f>
        <v>#N/A</v>
      </c>
      <c r="V100" s="178" t="e">
        <f t="shared" si="23"/>
        <v>#N/A</v>
      </c>
    </row>
    <row r="101" spans="1:22" x14ac:dyDescent="0.3">
      <c r="A101" s="57" t="str">
        <f>IF('Database Lab+Equip'!G39="","Equip. Resource",'Database Lab+Equip'!G39)</f>
        <v>Ritmo Delta 350 Polywelding Machine c/w dies</v>
      </c>
      <c r="B101" s="181">
        <f>IF(A101="Equip. Resource",0,VLOOKUP(A101,'Database Lab+Equip'!G:I,3,FALSE))</f>
        <v>216</v>
      </c>
      <c r="C101" s="181">
        <f>IF(SUMIF('Installation 1'!B:B,'Budget-Labour Equipment'!A101,'Installation 1'!I:I)+SUMIF('Subcontract 2'!B:B,'Budget-Labour Equipment'!A101,'Subcontract 2'!I:I)+SUMIF('Optional-3'!B:B,'Budget-Labour Equipment'!A101,'Optional-3'!I:I)+SUMIF('Mob-Demob'!B:B,'Budget-Labour Equipment'!A101,'Mob-Demob'!I:I)+SUMIF(Prelims!B:B,'Budget-Labour Equipment'!A101,Prelims!I:I)=0,0,(SUMIF('Installation 1'!B:B,'Budget-Labour Equipment'!A101,'Installation 1'!I:I)+SUMIF('Subcontract 2'!B:B,'Budget-Labour Equipment'!A101,'Subcontract 2'!I:I)+SUMIF('Optional-3'!B:B,'Budget-Labour Equipment'!A101,'Optional-3'!I:I)+SUMIF('Mob-Demob'!B:B,'Budget-Labour Equipment'!A101,'Mob-Demob'!I:I)+SUMIF(Prelims!B:B,'Budget-Labour Equipment'!A101,Prelims!I:I)))</f>
        <v>0</v>
      </c>
      <c r="D101" s="182">
        <f t="shared" si="16"/>
        <v>0</v>
      </c>
      <c r="E101" s="183">
        <f t="shared" si="17"/>
        <v>1.01E-4</v>
      </c>
      <c r="F101" s="183" t="e">
        <f t="shared" si="18"/>
        <v>#REF!</v>
      </c>
      <c r="H101" s="183" t="e">
        <f t="shared" si="19"/>
        <v>#N/A</v>
      </c>
      <c r="J101" s="183">
        <v>71</v>
      </c>
      <c r="K101" s="184" t="e">
        <f t="shared" si="20"/>
        <v>#N/A</v>
      </c>
      <c r="L101" s="185" t="e">
        <f>IF(K101="","",VLOOKUP(K101,'Database Lab+Equip'!$G:$I,3,FALSE))</f>
        <v>#N/A</v>
      </c>
      <c r="M101" s="185" t="e">
        <f>IF(K101="","",SUMIF('Installation 1'!B:B,'Budget-Labour Equipment'!K101,'Installation 1'!I:I)+SUMIF('Subcontract 2'!B:B,'Budget-Labour Equipment'!K101,'Subcontract 2'!I:I)+SUMIF('Optional-3'!B:B,'Budget-Labour Equipment'!K101,'Optional-3'!I:I)+SUMIF('Mob-Demob'!B:B,'Budget-Labour Equipment'!K101,'Mob-Demob'!I:I))</f>
        <v>#N/A</v>
      </c>
      <c r="N101" s="186" t="e">
        <f>IF(K101="","",RANK(L101,$L$31:$L$135)+COUNTIF($L$31:L101,L101)-1)</f>
        <v>#N/A</v>
      </c>
      <c r="P101" s="183" t="e">
        <f t="shared" si="21"/>
        <v>#N/A</v>
      </c>
      <c r="R101" s="32">
        <v>71</v>
      </c>
      <c r="S101" s="31" t="e">
        <f t="shared" si="22"/>
        <v>#N/A</v>
      </c>
      <c r="T101" s="177" t="e">
        <f>IF(S101="","",VLOOKUP(S101,'Database Lab+Equip'!$G:$I,3,FALSE))</f>
        <v>#N/A</v>
      </c>
      <c r="U101" s="177" t="e">
        <f>IF(S101="","",(SUMIF('Installation 1'!B:B,'Budget-Labour Equipment'!S101,'Installation 1'!I:I)+SUMIF('Subcontract 2'!B:B,'Budget-Labour Equipment'!S101,'Subcontract 2'!I:I)+SUMIF('Optional-3'!B:B,'Budget-Labour Equipment'!S101,'Optional-3'!I:I)+SUMIF('Mob-Demob'!B:B,'Budget-Labour Equipment'!S101,'Mob-Demob'!I:I)+SUMIF(Prelims!B:B,'Budget-Labour Equipment'!S101,Prelims!I:I)))</f>
        <v>#N/A</v>
      </c>
      <c r="V101" s="178" t="e">
        <f t="shared" si="23"/>
        <v>#N/A</v>
      </c>
    </row>
    <row r="102" spans="1:22" x14ac:dyDescent="0.3">
      <c r="A102" s="57" t="str">
        <f>IF('Database Lab+Equip'!G40="","Equip. Resource",'Database Lab+Equip'!G40)</f>
        <v>Ritmo Delta 500 Polywelder c/w dies</v>
      </c>
      <c r="B102" s="181">
        <f>IF(A102="Equip. Resource",0,VLOOKUP(A102,'Database Lab+Equip'!G:I,3,FALSE))</f>
        <v>225</v>
      </c>
      <c r="C102" s="181">
        <f>IF(SUMIF('Installation 1'!B:B,'Budget-Labour Equipment'!A102,'Installation 1'!I:I)+SUMIF('Subcontract 2'!B:B,'Budget-Labour Equipment'!A102,'Subcontract 2'!I:I)+SUMIF('Optional-3'!B:B,'Budget-Labour Equipment'!A102,'Optional-3'!I:I)+SUMIF('Mob-Demob'!B:B,'Budget-Labour Equipment'!A102,'Mob-Demob'!I:I)+SUMIF(Prelims!B:B,'Budget-Labour Equipment'!A102,Prelims!I:I)=0,0,(SUMIF('Installation 1'!B:B,'Budget-Labour Equipment'!A102,'Installation 1'!I:I)+SUMIF('Subcontract 2'!B:B,'Budget-Labour Equipment'!A102,'Subcontract 2'!I:I)+SUMIF('Optional-3'!B:B,'Budget-Labour Equipment'!A102,'Optional-3'!I:I)+SUMIF('Mob-Demob'!B:B,'Budget-Labour Equipment'!A102,'Mob-Demob'!I:I)+SUMIF(Prelims!B:B,'Budget-Labour Equipment'!A102,Prelims!I:I)))</f>
        <v>0</v>
      </c>
      <c r="D102" s="182">
        <f t="shared" si="16"/>
        <v>0</v>
      </c>
      <c r="E102" s="183">
        <f t="shared" si="17"/>
        <v>1.02E-4</v>
      </c>
      <c r="F102" s="183" t="e">
        <f t="shared" si="18"/>
        <v>#REF!</v>
      </c>
      <c r="H102" s="183" t="e">
        <f t="shared" si="19"/>
        <v>#N/A</v>
      </c>
      <c r="J102" s="183">
        <v>72</v>
      </c>
      <c r="K102" s="184" t="e">
        <f t="shared" si="20"/>
        <v>#N/A</v>
      </c>
      <c r="L102" s="185" t="e">
        <f>IF(K102="","",VLOOKUP(K102,'Database Lab+Equip'!$G:$I,3,FALSE))</f>
        <v>#N/A</v>
      </c>
      <c r="M102" s="185" t="e">
        <f>IF(K102="","",SUMIF('Installation 1'!B:B,'Budget-Labour Equipment'!K102,'Installation 1'!I:I)+SUMIF('Subcontract 2'!B:B,'Budget-Labour Equipment'!K102,'Subcontract 2'!I:I)+SUMIF('Optional-3'!B:B,'Budget-Labour Equipment'!K102,'Optional-3'!I:I)+SUMIF('Mob-Demob'!B:B,'Budget-Labour Equipment'!K102,'Mob-Demob'!I:I))</f>
        <v>#N/A</v>
      </c>
      <c r="N102" s="186" t="e">
        <f>IF(K102="","",RANK(L102,$L$31:$L$135)+COUNTIF($L$31:L102,L102)-1)</f>
        <v>#N/A</v>
      </c>
      <c r="P102" s="183" t="e">
        <f t="shared" si="21"/>
        <v>#N/A</v>
      </c>
      <c r="R102" s="32">
        <v>72</v>
      </c>
      <c r="S102" s="31" t="e">
        <f t="shared" si="22"/>
        <v>#N/A</v>
      </c>
      <c r="T102" s="177" t="e">
        <f>IF(S102="","",VLOOKUP(S102,'Database Lab+Equip'!$G:$I,3,FALSE))</f>
        <v>#N/A</v>
      </c>
      <c r="U102" s="177" t="e">
        <f>IF(S102="","",(SUMIF('Installation 1'!B:B,'Budget-Labour Equipment'!S102,'Installation 1'!I:I)+SUMIF('Subcontract 2'!B:B,'Budget-Labour Equipment'!S102,'Subcontract 2'!I:I)+SUMIF('Optional-3'!B:B,'Budget-Labour Equipment'!S102,'Optional-3'!I:I)+SUMIF('Mob-Demob'!B:B,'Budget-Labour Equipment'!S102,'Mob-Demob'!I:I)+SUMIF(Prelims!B:B,'Budget-Labour Equipment'!S102,Prelims!I:I)))</f>
        <v>#N/A</v>
      </c>
      <c r="V102" s="178" t="e">
        <f t="shared" si="23"/>
        <v>#N/A</v>
      </c>
    </row>
    <row r="103" spans="1:22" x14ac:dyDescent="0.3">
      <c r="A103" s="57" t="str">
        <f>IF('Database Lab+Equip'!G41="","Equip. Resource",'Database Lab+Equip'!G41)</f>
        <v>HF630 Polywelding Machine c/w dies</v>
      </c>
      <c r="B103" s="181">
        <f>IF(A103="Equip. Resource",0,VLOOKUP(A103,'Database Lab+Equip'!G:I,3,FALSE))</f>
        <v>630</v>
      </c>
      <c r="C103" s="181">
        <f>IF(SUMIF('Installation 1'!B:B,'Budget-Labour Equipment'!A103,'Installation 1'!I:I)+SUMIF('Subcontract 2'!B:B,'Budget-Labour Equipment'!A103,'Subcontract 2'!I:I)+SUMIF('Optional-3'!B:B,'Budget-Labour Equipment'!A103,'Optional-3'!I:I)+SUMIF('Mob-Demob'!B:B,'Budget-Labour Equipment'!A103,'Mob-Demob'!I:I)+SUMIF(Prelims!B:B,'Budget-Labour Equipment'!A103,Prelims!I:I)=0,0,(SUMIF('Installation 1'!B:B,'Budget-Labour Equipment'!A103,'Installation 1'!I:I)+SUMIF('Subcontract 2'!B:B,'Budget-Labour Equipment'!A103,'Subcontract 2'!I:I)+SUMIF('Optional-3'!B:B,'Budget-Labour Equipment'!A103,'Optional-3'!I:I)+SUMIF('Mob-Demob'!B:B,'Budget-Labour Equipment'!A103,'Mob-Demob'!I:I)+SUMIF(Prelims!B:B,'Budget-Labour Equipment'!A103,Prelims!I:I)))</f>
        <v>0</v>
      </c>
      <c r="D103" s="182">
        <f t="shared" si="16"/>
        <v>0</v>
      </c>
      <c r="E103" s="183">
        <f t="shared" si="17"/>
        <v>1.03E-4</v>
      </c>
      <c r="F103" s="183" t="e">
        <f t="shared" si="18"/>
        <v>#REF!</v>
      </c>
      <c r="H103" s="183" t="e">
        <f t="shared" si="19"/>
        <v>#N/A</v>
      </c>
      <c r="J103" s="183">
        <v>73</v>
      </c>
      <c r="K103" s="184" t="e">
        <f t="shared" si="20"/>
        <v>#N/A</v>
      </c>
      <c r="L103" s="185" t="e">
        <f>IF(K103="","",VLOOKUP(K103,'Database Lab+Equip'!$G:$I,3,FALSE))</f>
        <v>#N/A</v>
      </c>
      <c r="M103" s="185" t="e">
        <f>IF(K103="","",SUMIF('Installation 1'!B:B,'Budget-Labour Equipment'!K103,'Installation 1'!I:I)+SUMIF('Subcontract 2'!B:B,'Budget-Labour Equipment'!K103,'Subcontract 2'!I:I)+SUMIF('Optional-3'!B:B,'Budget-Labour Equipment'!K103,'Optional-3'!I:I)+SUMIF('Mob-Demob'!B:B,'Budget-Labour Equipment'!K103,'Mob-Demob'!I:I))</f>
        <v>#N/A</v>
      </c>
      <c r="N103" s="186" t="e">
        <f>IF(K103="","",RANK(L103,$L$31:$L$135)+COUNTIF($L$31:L103,L103)-1)</f>
        <v>#N/A</v>
      </c>
      <c r="P103" s="183" t="e">
        <f t="shared" si="21"/>
        <v>#N/A</v>
      </c>
      <c r="R103" s="32">
        <v>73</v>
      </c>
      <c r="S103" s="31" t="e">
        <f t="shared" si="22"/>
        <v>#N/A</v>
      </c>
      <c r="T103" s="177" t="e">
        <f>IF(S103="","",VLOOKUP(S103,'Database Lab+Equip'!$G:$I,3,FALSE))</f>
        <v>#N/A</v>
      </c>
      <c r="U103" s="177" t="e">
        <f>IF(S103="","",(SUMIF('Installation 1'!B:B,'Budget-Labour Equipment'!S103,'Installation 1'!I:I)+SUMIF('Subcontract 2'!B:B,'Budget-Labour Equipment'!S103,'Subcontract 2'!I:I)+SUMIF('Optional-3'!B:B,'Budget-Labour Equipment'!S103,'Optional-3'!I:I)+SUMIF('Mob-Demob'!B:B,'Budget-Labour Equipment'!S103,'Mob-Demob'!I:I)+SUMIF(Prelims!B:B,'Budget-Labour Equipment'!S103,Prelims!I:I)))</f>
        <v>#N/A</v>
      </c>
      <c r="V103" s="178" t="e">
        <f t="shared" si="23"/>
        <v>#N/A</v>
      </c>
    </row>
    <row r="104" spans="1:22" x14ac:dyDescent="0.3">
      <c r="A104" s="57" t="str">
        <f>IF('Database Lab+Equip'!G42="","Equip. Resource",'Database Lab+Equip'!G42)</f>
        <v>Ritmo Delta 630 Polywelding Machine c/w dies / SHD Machine</v>
      </c>
      <c r="B104" s="181">
        <f>IF(A104="Equip. Resource",0,VLOOKUP(A104,'Database Lab+Equip'!G:I,3,FALSE))</f>
        <v>630</v>
      </c>
      <c r="C104" s="181">
        <f>IF(SUMIF('Installation 1'!B:B,'Budget-Labour Equipment'!A104,'Installation 1'!I:I)+SUMIF('Subcontract 2'!B:B,'Budget-Labour Equipment'!A104,'Subcontract 2'!I:I)+SUMIF('Optional-3'!B:B,'Budget-Labour Equipment'!A104,'Optional-3'!I:I)+SUMIF('Mob-Demob'!B:B,'Budget-Labour Equipment'!A104,'Mob-Demob'!I:I)+SUMIF(Prelims!B:B,'Budget-Labour Equipment'!A104,Prelims!I:I)=0,0,(SUMIF('Installation 1'!B:B,'Budget-Labour Equipment'!A104,'Installation 1'!I:I)+SUMIF('Subcontract 2'!B:B,'Budget-Labour Equipment'!A104,'Subcontract 2'!I:I)+SUMIF('Optional-3'!B:B,'Budget-Labour Equipment'!A104,'Optional-3'!I:I)+SUMIF('Mob-Demob'!B:B,'Budget-Labour Equipment'!A104,'Mob-Demob'!I:I)+SUMIF(Prelims!B:B,'Budget-Labour Equipment'!A104,Prelims!I:I)))</f>
        <v>0</v>
      </c>
      <c r="D104" s="182">
        <f t="shared" si="16"/>
        <v>0</v>
      </c>
      <c r="E104" s="183">
        <f t="shared" si="17"/>
        <v>1.0399999999999999E-4</v>
      </c>
      <c r="F104" s="183" t="e">
        <f t="shared" si="18"/>
        <v>#REF!</v>
      </c>
      <c r="H104" s="183" t="e">
        <f t="shared" si="19"/>
        <v>#N/A</v>
      </c>
      <c r="J104" s="183">
        <v>74</v>
      </c>
      <c r="K104" s="184" t="e">
        <f t="shared" si="20"/>
        <v>#N/A</v>
      </c>
      <c r="L104" s="185" t="e">
        <f>IF(K104="","",VLOOKUP(K104,'Database Lab+Equip'!$G:$I,3,FALSE))</f>
        <v>#N/A</v>
      </c>
      <c r="M104" s="185" t="e">
        <f>IF(K104="","",SUMIF('Installation 1'!B:B,'Budget-Labour Equipment'!K104,'Installation 1'!I:I)+SUMIF('Subcontract 2'!B:B,'Budget-Labour Equipment'!K104,'Subcontract 2'!I:I)+SUMIF('Optional-3'!B:B,'Budget-Labour Equipment'!K104,'Optional-3'!I:I)+SUMIF('Mob-Demob'!B:B,'Budget-Labour Equipment'!K104,'Mob-Demob'!I:I))</f>
        <v>#N/A</v>
      </c>
      <c r="N104" s="186" t="e">
        <f>IF(K104="","",RANK(L104,$L$31:$L$135)+COUNTIF($L$31:L104,L104)-1)</f>
        <v>#N/A</v>
      </c>
      <c r="P104" s="183" t="e">
        <f t="shared" si="21"/>
        <v>#N/A</v>
      </c>
      <c r="R104" s="32">
        <v>74</v>
      </c>
      <c r="S104" s="31" t="e">
        <f t="shared" si="22"/>
        <v>#N/A</v>
      </c>
      <c r="T104" s="177" t="e">
        <f>IF(S104="","",VLOOKUP(S104,'Database Lab+Equip'!$G:$I,3,FALSE))</f>
        <v>#N/A</v>
      </c>
      <c r="U104" s="177" t="e">
        <f>IF(S104="","",(SUMIF('Installation 1'!B:B,'Budget-Labour Equipment'!S104,'Installation 1'!I:I)+SUMIF('Subcontract 2'!B:B,'Budget-Labour Equipment'!S104,'Subcontract 2'!I:I)+SUMIF('Optional-3'!B:B,'Budget-Labour Equipment'!S104,'Optional-3'!I:I)+SUMIF('Mob-Demob'!B:B,'Budget-Labour Equipment'!S104,'Mob-Demob'!I:I)+SUMIF(Prelims!B:B,'Budget-Labour Equipment'!S104,Prelims!I:I)))</f>
        <v>#N/A</v>
      </c>
      <c r="V104" s="178" t="e">
        <f t="shared" si="23"/>
        <v>#N/A</v>
      </c>
    </row>
    <row r="105" spans="1:22" x14ac:dyDescent="0.3">
      <c r="A105" s="57" t="str">
        <f>IF('Database Lab+Equip'!G43="","Equip. Resource",'Database Lab+Equip'!G43)</f>
        <v>TracStar 500 Polywelding Machine c/w dies</v>
      </c>
      <c r="B105" s="181">
        <f>IF(A105="Equip. Resource",0,VLOOKUP(A105,'Database Lab+Equip'!G:I,3,FALSE))</f>
        <v>585</v>
      </c>
      <c r="C105" s="181">
        <f>IF(SUMIF('Installation 1'!B:B,'Budget-Labour Equipment'!A105,'Installation 1'!I:I)+SUMIF('Subcontract 2'!B:B,'Budget-Labour Equipment'!A105,'Subcontract 2'!I:I)+SUMIF('Optional-3'!B:B,'Budget-Labour Equipment'!A105,'Optional-3'!I:I)+SUMIF('Mob-Demob'!B:B,'Budget-Labour Equipment'!A105,'Mob-Demob'!I:I)+SUMIF(Prelims!B:B,'Budget-Labour Equipment'!A105,Prelims!I:I)=0,0,(SUMIF('Installation 1'!B:B,'Budget-Labour Equipment'!A105,'Installation 1'!I:I)+SUMIF('Subcontract 2'!B:B,'Budget-Labour Equipment'!A105,'Subcontract 2'!I:I)+SUMIF('Optional-3'!B:B,'Budget-Labour Equipment'!A105,'Optional-3'!I:I)+SUMIF('Mob-Demob'!B:B,'Budget-Labour Equipment'!A105,'Mob-Demob'!I:I)+SUMIF(Prelims!B:B,'Budget-Labour Equipment'!A105,Prelims!I:I)))</f>
        <v>0</v>
      </c>
      <c r="D105" s="182">
        <f t="shared" si="16"/>
        <v>0</v>
      </c>
      <c r="E105" s="183">
        <f t="shared" si="17"/>
        <v>1.0499999999999999E-4</v>
      </c>
      <c r="F105" s="183" t="e">
        <f t="shared" si="18"/>
        <v>#REF!</v>
      </c>
      <c r="H105" s="183" t="e">
        <f t="shared" si="19"/>
        <v>#N/A</v>
      </c>
      <c r="J105" s="183">
        <v>75</v>
      </c>
      <c r="K105" s="184" t="e">
        <f t="shared" si="20"/>
        <v>#N/A</v>
      </c>
      <c r="L105" s="185" t="e">
        <f>IF(K105="","",VLOOKUP(K105,'Database Lab+Equip'!$G:$I,3,FALSE))</f>
        <v>#N/A</v>
      </c>
      <c r="M105" s="185" t="e">
        <f>IF(K105="","",SUMIF('Installation 1'!B:B,'Budget-Labour Equipment'!K105,'Installation 1'!I:I)+SUMIF('Subcontract 2'!B:B,'Budget-Labour Equipment'!K105,'Subcontract 2'!I:I)+SUMIF('Optional-3'!B:B,'Budget-Labour Equipment'!K105,'Optional-3'!I:I)+SUMIF('Mob-Demob'!B:B,'Budget-Labour Equipment'!K105,'Mob-Demob'!I:I))</f>
        <v>#N/A</v>
      </c>
      <c r="N105" s="186" t="e">
        <f>IF(K105="","",RANK(L105,$L$31:$L$135)+COUNTIF($L$31:L105,L105)-1)</f>
        <v>#N/A</v>
      </c>
      <c r="P105" s="183" t="e">
        <f t="shared" si="21"/>
        <v>#N/A</v>
      </c>
      <c r="R105" s="32">
        <v>75</v>
      </c>
      <c r="S105" s="31" t="e">
        <f t="shared" si="22"/>
        <v>#N/A</v>
      </c>
      <c r="T105" s="177" t="e">
        <f>IF(S105="","",VLOOKUP(S105,'Database Lab+Equip'!$G:$I,3,FALSE))</f>
        <v>#N/A</v>
      </c>
      <c r="U105" s="177" t="e">
        <f>IF(S105="","",(SUMIF('Installation 1'!B:B,'Budget-Labour Equipment'!S105,'Installation 1'!I:I)+SUMIF('Subcontract 2'!B:B,'Budget-Labour Equipment'!S105,'Subcontract 2'!I:I)+SUMIF('Optional-3'!B:B,'Budget-Labour Equipment'!S105,'Optional-3'!I:I)+SUMIF('Mob-Demob'!B:B,'Budget-Labour Equipment'!S105,'Mob-Demob'!I:I)+SUMIF(Prelims!B:B,'Budget-Labour Equipment'!S105,Prelims!I:I)))</f>
        <v>#N/A</v>
      </c>
      <c r="V105" s="178" t="e">
        <f t="shared" si="23"/>
        <v>#N/A</v>
      </c>
    </row>
    <row r="106" spans="1:22" x14ac:dyDescent="0.3">
      <c r="A106" s="57" t="str">
        <f>IF('Database Lab+Equip'!G44="","Equip. Resource",'Database Lab+Equip'!G44)</f>
        <v>TracStar 618 Polywelding Machine c/w dies</v>
      </c>
      <c r="B106" s="181">
        <f>IF(A106="Equip. Resource",0,VLOOKUP(A106,'Database Lab+Equip'!G:I,3,FALSE))</f>
        <v>585</v>
      </c>
      <c r="C106" s="181">
        <f>IF(SUMIF('Installation 1'!B:B,'Budget-Labour Equipment'!A106,'Installation 1'!I:I)+SUMIF('Subcontract 2'!B:B,'Budget-Labour Equipment'!A106,'Subcontract 2'!I:I)+SUMIF('Optional-3'!B:B,'Budget-Labour Equipment'!A106,'Optional-3'!I:I)+SUMIF('Mob-Demob'!B:B,'Budget-Labour Equipment'!A106,'Mob-Demob'!I:I)+SUMIF(Prelims!B:B,'Budget-Labour Equipment'!A106,Prelims!I:I)=0,0,(SUMIF('Installation 1'!B:B,'Budget-Labour Equipment'!A106,'Installation 1'!I:I)+SUMIF('Subcontract 2'!B:B,'Budget-Labour Equipment'!A106,'Subcontract 2'!I:I)+SUMIF('Optional-3'!B:B,'Budget-Labour Equipment'!A106,'Optional-3'!I:I)+SUMIF('Mob-Demob'!B:B,'Budget-Labour Equipment'!A106,'Mob-Demob'!I:I)+SUMIF(Prelims!B:B,'Budget-Labour Equipment'!A106,Prelims!I:I)))</f>
        <v>0</v>
      </c>
      <c r="D106" s="182">
        <f t="shared" si="16"/>
        <v>0</v>
      </c>
      <c r="E106" s="183">
        <f t="shared" si="17"/>
        <v>1.06E-4</v>
      </c>
      <c r="F106" s="183" t="e">
        <f t="shared" si="18"/>
        <v>#REF!</v>
      </c>
      <c r="H106" s="183" t="e">
        <f t="shared" si="19"/>
        <v>#N/A</v>
      </c>
      <c r="J106" s="183">
        <v>76</v>
      </c>
      <c r="K106" s="184" t="e">
        <f t="shared" si="20"/>
        <v>#N/A</v>
      </c>
      <c r="L106" s="185" t="e">
        <f>IF(K106="","",VLOOKUP(K106,'Database Lab+Equip'!$G:$I,3,FALSE))</f>
        <v>#N/A</v>
      </c>
      <c r="M106" s="185" t="e">
        <f>IF(K106="","",SUMIF('Installation 1'!B:B,'Budget-Labour Equipment'!K106,'Installation 1'!I:I)+SUMIF('Subcontract 2'!B:B,'Budget-Labour Equipment'!K106,'Subcontract 2'!I:I)+SUMIF('Optional-3'!B:B,'Budget-Labour Equipment'!K106,'Optional-3'!I:I)+SUMIF('Mob-Demob'!B:B,'Budget-Labour Equipment'!K106,'Mob-Demob'!I:I))</f>
        <v>#N/A</v>
      </c>
      <c r="N106" s="186" t="e">
        <f>IF(K106="","",RANK(L106,$L$31:$L$135)+COUNTIF($L$31:L106,L106)-1)</f>
        <v>#N/A</v>
      </c>
      <c r="P106" s="183" t="e">
        <f t="shared" si="21"/>
        <v>#N/A</v>
      </c>
      <c r="R106" s="32">
        <v>76</v>
      </c>
      <c r="S106" s="31" t="e">
        <f t="shared" si="22"/>
        <v>#N/A</v>
      </c>
      <c r="T106" s="177" t="e">
        <f>IF(S106="","",VLOOKUP(S106,'Database Lab+Equip'!$G:$I,3,FALSE))</f>
        <v>#N/A</v>
      </c>
      <c r="U106" s="177" t="e">
        <f>IF(S106="","",(SUMIF('Installation 1'!B:B,'Budget-Labour Equipment'!S106,'Installation 1'!I:I)+SUMIF('Subcontract 2'!B:B,'Budget-Labour Equipment'!S106,'Subcontract 2'!I:I)+SUMIF('Optional-3'!B:B,'Budget-Labour Equipment'!S106,'Optional-3'!I:I)+SUMIF('Mob-Demob'!B:B,'Budget-Labour Equipment'!S106,'Mob-Demob'!I:I)+SUMIF(Prelims!B:B,'Budget-Labour Equipment'!S106,Prelims!I:I)))</f>
        <v>#N/A</v>
      </c>
      <c r="V106" s="178" t="e">
        <f t="shared" si="23"/>
        <v>#N/A</v>
      </c>
    </row>
    <row r="107" spans="1:22" x14ac:dyDescent="0.3">
      <c r="A107" s="57" t="str">
        <f>IF('Database Lab+Equip'!G45="","Equip. Resource",'Database Lab+Equip'!G45)</f>
        <v>TracStar 900 Polywelding Machine c/w dies</v>
      </c>
      <c r="B107" s="181">
        <f>IF(A107="Equip. Resource",0,VLOOKUP(A107,'Database Lab+Equip'!G:I,3,FALSE))</f>
        <v>979.99999999999989</v>
      </c>
      <c r="C107" s="181">
        <f>IF(SUMIF('Installation 1'!B:B,'Budget-Labour Equipment'!A107,'Installation 1'!I:I)+SUMIF('Subcontract 2'!B:B,'Budget-Labour Equipment'!A107,'Subcontract 2'!I:I)+SUMIF('Optional-3'!B:B,'Budget-Labour Equipment'!A107,'Optional-3'!I:I)+SUMIF('Mob-Demob'!B:B,'Budget-Labour Equipment'!A107,'Mob-Demob'!I:I)+SUMIF(Prelims!B:B,'Budget-Labour Equipment'!A107,Prelims!I:I)=0,0,(SUMIF('Installation 1'!B:B,'Budget-Labour Equipment'!A107,'Installation 1'!I:I)+SUMIF('Subcontract 2'!B:B,'Budget-Labour Equipment'!A107,'Subcontract 2'!I:I)+SUMIF('Optional-3'!B:B,'Budget-Labour Equipment'!A107,'Optional-3'!I:I)+SUMIF('Mob-Demob'!B:B,'Budget-Labour Equipment'!A107,'Mob-Demob'!I:I)+SUMIF(Prelims!B:B,'Budget-Labour Equipment'!A107,Prelims!I:I)))</f>
        <v>98783.999999999985</v>
      </c>
      <c r="D107" s="182">
        <f t="shared" si="16"/>
        <v>100.8</v>
      </c>
      <c r="E107" s="183">
        <f t="shared" si="17"/>
        <v>100.800107</v>
      </c>
      <c r="F107" s="183" t="e">
        <f t="shared" si="18"/>
        <v>#REF!</v>
      </c>
      <c r="H107" s="183" t="e">
        <f t="shared" si="19"/>
        <v>#N/A</v>
      </c>
      <c r="J107" s="183">
        <v>77</v>
      </c>
      <c r="K107" s="184" t="e">
        <f t="shared" si="20"/>
        <v>#N/A</v>
      </c>
      <c r="L107" s="185" t="e">
        <f>IF(K107="","",VLOOKUP(K107,'Database Lab+Equip'!$G:$I,3,FALSE))</f>
        <v>#N/A</v>
      </c>
      <c r="M107" s="185" t="e">
        <f>IF(K107="","",SUMIF('Installation 1'!B:B,'Budget-Labour Equipment'!K107,'Installation 1'!I:I)+SUMIF('Subcontract 2'!B:B,'Budget-Labour Equipment'!K107,'Subcontract 2'!I:I)+SUMIF('Optional-3'!B:B,'Budget-Labour Equipment'!K107,'Optional-3'!I:I)+SUMIF('Mob-Demob'!B:B,'Budget-Labour Equipment'!K107,'Mob-Demob'!I:I))</f>
        <v>#N/A</v>
      </c>
      <c r="N107" s="186" t="e">
        <f>IF(K107="","",RANK(L107,$L$31:$L$135)+COUNTIF($L$31:L107,L107)-1)</f>
        <v>#N/A</v>
      </c>
      <c r="P107" s="183" t="e">
        <f t="shared" si="21"/>
        <v>#N/A</v>
      </c>
      <c r="R107" s="32">
        <v>77</v>
      </c>
      <c r="S107" s="31" t="e">
        <f t="shared" si="22"/>
        <v>#N/A</v>
      </c>
      <c r="T107" s="177" t="e">
        <f>IF(S107="","",VLOOKUP(S107,'Database Lab+Equip'!$G:$I,3,FALSE))</f>
        <v>#N/A</v>
      </c>
      <c r="U107" s="177" t="e">
        <f>IF(S107="","",(SUMIF('Installation 1'!B:B,'Budget-Labour Equipment'!S107,'Installation 1'!I:I)+SUMIF('Subcontract 2'!B:B,'Budget-Labour Equipment'!S107,'Subcontract 2'!I:I)+SUMIF('Optional-3'!B:B,'Budget-Labour Equipment'!S107,'Optional-3'!I:I)+SUMIF('Mob-Demob'!B:B,'Budget-Labour Equipment'!S107,'Mob-Demob'!I:I)+SUMIF(Prelims!B:B,'Budget-Labour Equipment'!S107,Prelims!I:I)))</f>
        <v>#N/A</v>
      </c>
      <c r="V107" s="178" t="e">
        <f t="shared" si="23"/>
        <v>#N/A</v>
      </c>
    </row>
    <row r="108" spans="1:22" x14ac:dyDescent="0.3">
      <c r="A108" s="57" t="e">
        <f>IF('Database Lab+Equip'!#REF!="","Equip. Resource",'Database Lab+Equip'!#REF!)</f>
        <v>#REF!</v>
      </c>
      <c r="B108" s="181" t="e">
        <f>IF(A108="Equip. Resource",0,VLOOKUP(A108,'Database Lab+Equip'!G:I,3,FALSE))</f>
        <v>#REF!</v>
      </c>
      <c r="C108" s="181">
        <f>IF(SUMIF('Installation 1'!B:B,'Budget-Labour Equipment'!A108,'Installation 1'!I:I)+SUMIF('Subcontract 2'!B:B,'Budget-Labour Equipment'!A108,'Subcontract 2'!I:I)+SUMIF('Optional-3'!B:B,'Budget-Labour Equipment'!A108,'Optional-3'!I:I)+SUMIF('Mob-Demob'!B:B,'Budget-Labour Equipment'!A108,'Mob-Demob'!I:I)+SUMIF(Prelims!B:B,'Budget-Labour Equipment'!A108,Prelims!I:I)=0,0,(SUMIF('Installation 1'!B:B,'Budget-Labour Equipment'!A108,'Installation 1'!I:I)+SUMIF('Subcontract 2'!B:B,'Budget-Labour Equipment'!A108,'Subcontract 2'!I:I)+SUMIF('Optional-3'!B:B,'Budget-Labour Equipment'!A108,'Optional-3'!I:I)+SUMIF('Mob-Demob'!B:B,'Budget-Labour Equipment'!A108,'Mob-Demob'!I:I)+SUMIF(Prelims!B:B,'Budget-Labour Equipment'!A108,Prelims!I:I)))</f>
        <v>0</v>
      </c>
      <c r="D108" s="182" t="e">
        <f t="shared" si="16"/>
        <v>#REF!</v>
      </c>
      <c r="E108" s="183" t="e">
        <f t="shared" si="17"/>
        <v>#REF!</v>
      </c>
      <c r="F108" s="183" t="e">
        <f t="shared" si="18"/>
        <v>#REF!</v>
      </c>
      <c r="H108" s="183" t="e">
        <f t="shared" si="19"/>
        <v>#N/A</v>
      </c>
      <c r="J108" s="183">
        <v>78</v>
      </c>
      <c r="K108" s="184" t="e">
        <f t="shared" si="20"/>
        <v>#N/A</v>
      </c>
      <c r="L108" s="185" t="e">
        <f>IF(K108="","",VLOOKUP(K108,'Database Lab+Equip'!$G:$I,3,FALSE))</f>
        <v>#N/A</v>
      </c>
      <c r="M108" s="185" t="e">
        <f>IF(K108="","",SUMIF('Installation 1'!B:B,'Budget-Labour Equipment'!K108,'Installation 1'!I:I)+SUMIF('Subcontract 2'!B:B,'Budget-Labour Equipment'!K108,'Subcontract 2'!I:I)+SUMIF('Optional-3'!B:B,'Budget-Labour Equipment'!K108,'Optional-3'!I:I)+SUMIF('Mob-Demob'!B:B,'Budget-Labour Equipment'!K108,'Mob-Demob'!I:I))</f>
        <v>#N/A</v>
      </c>
      <c r="N108" s="186" t="e">
        <f>IF(K108="","",RANK(L108,$L$31:$L$135)+COUNTIF($L$31:L108,L108)-1)</f>
        <v>#N/A</v>
      </c>
      <c r="P108" s="183" t="e">
        <f t="shared" si="21"/>
        <v>#N/A</v>
      </c>
      <c r="R108" s="32">
        <v>78</v>
      </c>
      <c r="S108" s="31" t="e">
        <f t="shared" si="22"/>
        <v>#N/A</v>
      </c>
      <c r="T108" s="177" t="e">
        <f>IF(S108="","",VLOOKUP(S108,'Database Lab+Equip'!$G:$I,3,FALSE))</f>
        <v>#N/A</v>
      </c>
      <c r="U108" s="177" t="e">
        <f>IF(S108="","",(SUMIF('Installation 1'!B:B,'Budget-Labour Equipment'!S108,'Installation 1'!I:I)+SUMIF('Subcontract 2'!B:B,'Budget-Labour Equipment'!S108,'Subcontract 2'!I:I)+SUMIF('Optional-3'!B:B,'Budget-Labour Equipment'!S108,'Optional-3'!I:I)+SUMIF('Mob-Demob'!B:B,'Budget-Labour Equipment'!S108,'Mob-Demob'!I:I)+SUMIF(Prelims!B:B,'Budget-Labour Equipment'!S108,Prelims!I:I)))</f>
        <v>#N/A</v>
      </c>
      <c r="V108" s="178" t="e">
        <f t="shared" si="23"/>
        <v>#N/A</v>
      </c>
    </row>
    <row r="109" spans="1:22" x14ac:dyDescent="0.3">
      <c r="A109" s="57" t="e">
        <f>IF('Database Lab+Equip'!#REF!="","Equip. Resource",'Database Lab+Equip'!#REF!)</f>
        <v>#REF!</v>
      </c>
      <c r="B109" s="181" t="e">
        <f>IF(A109="Equip. Resource",0,VLOOKUP(A109,'Database Lab+Equip'!G:I,3,FALSE))</f>
        <v>#REF!</v>
      </c>
      <c r="C109" s="181">
        <f>IF(SUMIF('Installation 1'!B:B,'Budget-Labour Equipment'!A109,'Installation 1'!I:I)+SUMIF('Subcontract 2'!B:B,'Budget-Labour Equipment'!A109,'Subcontract 2'!I:I)+SUMIF('Optional-3'!B:B,'Budget-Labour Equipment'!A109,'Optional-3'!I:I)+SUMIF('Mob-Demob'!B:B,'Budget-Labour Equipment'!A109,'Mob-Demob'!I:I)+SUMIF(Prelims!B:B,'Budget-Labour Equipment'!A109,Prelims!I:I)=0,0,(SUMIF('Installation 1'!B:B,'Budget-Labour Equipment'!A109,'Installation 1'!I:I)+SUMIF('Subcontract 2'!B:B,'Budget-Labour Equipment'!A109,'Subcontract 2'!I:I)+SUMIF('Optional-3'!B:B,'Budget-Labour Equipment'!A109,'Optional-3'!I:I)+SUMIF('Mob-Demob'!B:B,'Budget-Labour Equipment'!A109,'Mob-Demob'!I:I)+SUMIF(Prelims!B:B,'Budget-Labour Equipment'!A109,Prelims!I:I)))</f>
        <v>0</v>
      </c>
      <c r="D109" s="182" t="e">
        <f t="shared" si="16"/>
        <v>#REF!</v>
      </c>
      <c r="E109" s="183" t="e">
        <f t="shared" si="17"/>
        <v>#REF!</v>
      </c>
      <c r="F109" s="183" t="e">
        <f t="shared" si="18"/>
        <v>#REF!</v>
      </c>
      <c r="H109" s="183" t="e">
        <f t="shared" si="19"/>
        <v>#N/A</v>
      </c>
      <c r="J109" s="183">
        <v>79</v>
      </c>
      <c r="K109" s="184" t="e">
        <f t="shared" si="20"/>
        <v>#N/A</v>
      </c>
      <c r="L109" s="185" t="e">
        <f>IF(K109="","",VLOOKUP(K109,'Database Lab+Equip'!$G:$I,3,FALSE))</f>
        <v>#N/A</v>
      </c>
      <c r="M109" s="185" t="e">
        <f>IF(K109="","",SUMIF('Installation 1'!B:B,'Budget-Labour Equipment'!K109,'Installation 1'!I:I)+SUMIF('Subcontract 2'!B:B,'Budget-Labour Equipment'!K109,'Subcontract 2'!I:I)+SUMIF('Optional-3'!B:B,'Budget-Labour Equipment'!K109,'Optional-3'!I:I)+SUMIF('Mob-Demob'!B:B,'Budget-Labour Equipment'!K109,'Mob-Demob'!I:I))</f>
        <v>#N/A</v>
      </c>
      <c r="N109" s="186" t="e">
        <f>IF(K109="","",RANK(L109,$L$31:$L$135)+COUNTIF($L$31:L109,L109)-1)</f>
        <v>#N/A</v>
      </c>
      <c r="P109" s="183" t="e">
        <f t="shared" si="21"/>
        <v>#N/A</v>
      </c>
      <c r="R109" s="32">
        <v>79</v>
      </c>
      <c r="S109" s="31" t="e">
        <f t="shared" si="22"/>
        <v>#N/A</v>
      </c>
      <c r="T109" s="177" t="e">
        <f>IF(S109="","",VLOOKUP(S109,'Database Lab+Equip'!$G:$I,3,FALSE))</f>
        <v>#N/A</v>
      </c>
      <c r="U109" s="177" t="e">
        <f>IF(S109="","",(SUMIF('Installation 1'!B:B,'Budget-Labour Equipment'!S109,'Installation 1'!I:I)+SUMIF('Subcontract 2'!B:B,'Budget-Labour Equipment'!S109,'Subcontract 2'!I:I)+SUMIF('Optional-3'!B:B,'Budget-Labour Equipment'!S109,'Optional-3'!I:I)+SUMIF('Mob-Demob'!B:B,'Budget-Labour Equipment'!S109,'Mob-Demob'!I:I)+SUMIF(Prelims!B:B,'Budget-Labour Equipment'!S109,Prelims!I:I)))</f>
        <v>#N/A</v>
      </c>
      <c r="V109" s="178" t="e">
        <f t="shared" si="23"/>
        <v>#N/A</v>
      </c>
    </row>
    <row r="110" spans="1:22" x14ac:dyDescent="0.3">
      <c r="A110" s="57" t="e">
        <f>IF('Database Lab+Equip'!#REF!="","Equip. Resource",'Database Lab+Equip'!#REF!)</f>
        <v>#REF!</v>
      </c>
      <c r="B110" s="181" t="e">
        <f>IF(A110="Equip. Resource",0,VLOOKUP(A110,'Database Lab+Equip'!G:I,3,FALSE))</f>
        <v>#REF!</v>
      </c>
      <c r="C110" s="181">
        <f>IF(SUMIF('Installation 1'!B:B,'Budget-Labour Equipment'!A110,'Installation 1'!I:I)+SUMIF('Subcontract 2'!B:B,'Budget-Labour Equipment'!A110,'Subcontract 2'!I:I)+SUMIF('Optional-3'!B:B,'Budget-Labour Equipment'!A110,'Optional-3'!I:I)+SUMIF('Mob-Demob'!B:B,'Budget-Labour Equipment'!A110,'Mob-Demob'!I:I)+SUMIF(Prelims!B:B,'Budget-Labour Equipment'!A110,Prelims!I:I)=0,0,(SUMIF('Installation 1'!B:B,'Budget-Labour Equipment'!A110,'Installation 1'!I:I)+SUMIF('Subcontract 2'!B:B,'Budget-Labour Equipment'!A110,'Subcontract 2'!I:I)+SUMIF('Optional-3'!B:B,'Budget-Labour Equipment'!A110,'Optional-3'!I:I)+SUMIF('Mob-Demob'!B:B,'Budget-Labour Equipment'!A110,'Mob-Demob'!I:I)+SUMIF(Prelims!B:B,'Budget-Labour Equipment'!A110,Prelims!I:I)))</f>
        <v>0</v>
      </c>
      <c r="D110" s="182" t="e">
        <f t="shared" si="16"/>
        <v>#REF!</v>
      </c>
      <c r="E110" s="183" t="e">
        <f t="shared" si="17"/>
        <v>#REF!</v>
      </c>
      <c r="F110" s="183" t="e">
        <f t="shared" si="18"/>
        <v>#REF!</v>
      </c>
      <c r="H110" s="183" t="e">
        <f t="shared" si="19"/>
        <v>#N/A</v>
      </c>
      <c r="J110" s="183">
        <v>80</v>
      </c>
      <c r="K110" s="184" t="e">
        <f t="shared" si="20"/>
        <v>#N/A</v>
      </c>
      <c r="L110" s="185" t="e">
        <f>IF(K110="","",VLOOKUP(K110,'Database Lab+Equip'!$G:$I,3,FALSE))</f>
        <v>#N/A</v>
      </c>
      <c r="M110" s="185" t="e">
        <f>IF(K110="","",SUMIF('Installation 1'!B:B,'Budget-Labour Equipment'!K110,'Installation 1'!I:I)+SUMIF('Subcontract 2'!B:B,'Budget-Labour Equipment'!K110,'Subcontract 2'!I:I)+SUMIF('Optional-3'!B:B,'Budget-Labour Equipment'!K110,'Optional-3'!I:I)+SUMIF('Mob-Demob'!B:B,'Budget-Labour Equipment'!K110,'Mob-Demob'!I:I))</f>
        <v>#N/A</v>
      </c>
      <c r="N110" s="186" t="e">
        <f>IF(K110="","",RANK(L110,$L$31:$L$135)+COUNTIF($L$31:L110,L110)-1)</f>
        <v>#N/A</v>
      </c>
      <c r="P110" s="183" t="e">
        <f t="shared" si="21"/>
        <v>#N/A</v>
      </c>
      <c r="R110" s="32">
        <v>80</v>
      </c>
      <c r="S110" s="31" t="e">
        <f t="shared" si="22"/>
        <v>#N/A</v>
      </c>
      <c r="T110" s="177" t="e">
        <f>IF(S110="","",VLOOKUP(S110,'Database Lab+Equip'!$G:$I,3,FALSE))</f>
        <v>#N/A</v>
      </c>
      <c r="U110" s="177" t="e">
        <f>IF(S110="","",(SUMIF('Installation 1'!B:B,'Budget-Labour Equipment'!S110,'Installation 1'!I:I)+SUMIF('Subcontract 2'!B:B,'Budget-Labour Equipment'!S110,'Subcontract 2'!I:I)+SUMIF('Optional-3'!B:B,'Budget-Labour Equipment'!S110,'Optional-3'!I:I)+SUMIF('Mob-Demob'!B:B,'Budget-Labour Equipment'!S110,'Mob-Demob'!I:I)+SUMIF(Prelims!B:B,'Budget-Labour Equipment'!S110,Prelims!I:I)))</f>
        <v>#N/A</v>
      </c>
      <c r="V110" s="178" t="e">
        <f t="shared" si="23"/>
        <v>#N/A</v>
      </c>
    </row>
    <row r="111" spans="1:22" x14ac:dyDescent="0.3">
      <c r="A111" s="57" t="e">
        <f>IF('Database Lab+Equip'!#REF!="","Equip. Resource",'Database Lab+Equip'!#REF!)</f>
        <v>#REF!</v>
      </c>
      <c r="B111" s="181" t="e">
        <f>IF(A111="Equip. Resource",0,VLOOKUP(A111,'Database Lab+Equip'!G:I,3,FALSE))</f>
        <v>#REF!</v>
      </c>
      <c r="C111" s="181">
        <f>IF(SUMIF('Installation 1'!B:B,'Budget-Labour Equipment'!A111,'Installation 1'!I:I)+SUMIF('Subcontract 2'!B:B,'Budget-Labour Equipment'!A111,'Subcontract 2'!I:I)+SUMIF('Optional-3'!B:B,'Budget-Labour Equipment'!A111,'Optional-3'!I:I)+SUMIF('Mob-Demob'!B:B,'Budget-Labour Equipment'!A111,'Mob-Demob'!I:I)+SUMIF(Prelims!B:B,'Budget-Labour Equipment'!A111,Prelims!I:I)=0,0,(SUMIF('Installation 1'!B:B,'Budget-Labour Equipment'!A111,'Installation 1'!I:I)+SUMIF('Subcontract 2'!B:B,'Budget-Labour Equipment'!A111,'Subcontract 2'!I:I)+SUMIF('Optional-3'!B:B,'Budget-Labour Equipment'!A111,'Optional-3'!I:I)+SUMIF('Mob-Demob'!B:B,'Budget-Labour Equipment'!A111,'Mob-Demob'!I:I)+SUMIF(Prelims!B:B,'Budget-Labour Equipment'!A111,Prelims!I:I)))</f>
        <v>0</v>
      </c>
      <c r="D111" s="182" t="e">
        <f t="shared" si="16"/>
        <v>#REF!</v>
      </c>
      <c r="E111" s="183" t="e">
        <f t="shared" si="17"/>
        <v>#REF!</v>
      </c>
      <c r="F111" s="183" t="e">
        <f t="shared" si="18"/>
        <v>#REF!</v>
      </c>
      <c r="H111" s="183" t="e">
        <f t="shared" si="19"/>
        <v>#N/A</v>
      </c>
      <c r="J111" s="183">
        <v>81</v>
      </c>
      <c r="K111" s="184" t="e">
        <f t="shared" si="20"/>
        <v>#N/A</v>
      </c>
      <c r="L111" s="185" t="e">
        <f>IF(K111="","",VLOOKUP(K111,'Database Lab+Equip'!$G:$I,3,FALSE))</f>
        <v>#N/A</v>
      </c>
      <c r="M111" s="185" t="e">
        <f>IF(K111="","",SUMIF('Installation 1'!B:B,'Budget-Labour Equipment'!K111,'Installation 1'!I:I)+SUMIF('Subcontract 2'!B:B,'Budget-Labour Equipment'!K111,'Subcontract 2'!I:I)+SUMIF('Optional-3'!B:B,'Budget-Labour Equipment'!K111,'Optional-3'!I:I)+SUMIF('Mob-Demob'!B:B,'Budget-Labour Equipment'!K111,'Mob-Demob'!I:I))</f>
        <v>#N/A</v>
      </c>
      <c r="N111" s="186" t="e">
        <f>IF(K111="","",RANK(L111,$L$31:$L$135)+COUNTIF($L$31:L111,L111)-1)</f>
        <v>#N/A</v>
      </c>
      <c r="P111" s="183" t="e">
        <f t="shared" si="21"/>
        <v>#N/A</v>
      </c>
      <c r="R111" s="32">
        <v>81</v>
      </c>
      <c r="S111" s="31" t="e">
        <f t="shared" si="22"/>
        <v>#N/A</v>
      </c>
      <c r="T111" s="177" t="e">
        <f>IF(S111="","",VLOOKUP(S111,'Database Lab+Equip'!$G:$I,3,FALSE))</f>
        <v>#N/A</v>
      </c>
      <c r="U111" s="177" t="e">
        <f>IF(S111="","",(SUMIF('Installation 1'!B:B,'Budget-Labour Equipment'!S111,'Installation 1'!I:I)+SUMIF('Subcontract 2'!B:B,'Budget-Labour Equipment'!S111,'Subcontract 2'!I:I)+SUMIF('Optional-3'!B:B,'Budget-Labour Equipment'!S111,'Optional-3'!I:I)+SUMIF('Mob-Demob'!B:B,'Budget-Labour Equipment'!S111,'Mob-Demob'!I:I)+SUMIF(Prelims!B:B,'Budget-Labour Equipment'!S111,Prelims!I:I)))</f>
        <v>#N/A</v>
      </c>
      <c r="V111" s="178" t="e">
        <f t="shared" si="23"/>
        <v>#N/A</v>
      </c>
    </row>
    <row r="112" spans="1:22" x14ac:dyDescent="0.3">
      <c r="A112" s="57" t="str">
        <f>IF('Database Lab+Equip'!G46="","Equip. Resource",'Database Lab+Equip'!G46)</f>
        <v>Teleporter 3t c/w Forks and Bucket</v>
      </c>
      <c r="B112" s="181">
        <f>IF(A112="Equip. Resource",0,VLOOKUP(A112,'Database Lab+Equip'!G:I,3,FALSE))</f>
        <v>420</v>
      </c>
      <c r="C112" s="181">
        <f>IF(SUMIF('Installation 1'!B:B,'Budget-Labour Equipment'!A112,'Installation 1'!I:I)+SUMIF('Subcontract 2'!B:B,'Budget-Labour Equipment'!A112,'Subcontract 2'!I:I)+SUMIF('Optional-3'!B:B,'Budget-Labour Equipment'!A112,'Optional-3'!I:I)+SUMIF('Mob-Demob'!B:B,'Budget-Labour Equipment'!A112,'Mob-Demob'!I:I)+SUMIF(Prelims!B:B,'Budget-Labour Equipment'!A112,Prelims!I:I)=0,0,(SUMIF('Installation 1'!B:B,'Budget-Labour Equipment'!A112,'Installation 1'!I:I)+SUMIF('Subcontract 2'!B:B,'Budget-Labour Equipment'!A112,'Subcontract 2'!I:I)+SUMIF('Optional-3'!B:B,'Budget-Labour Equipment'!A112,'Optional-3'!I:I)+SUMIF('Mob-Demob'!B:B,'Budget-Labour Equipment'!A112,'Mob-Demob'!I:I)+SUMIF(Prelims!B:B,'Budget-Labour Equipment'!A112,Prelims!I:I)))</f>
        <v>0</v>
      </c>
      <c r="D112" s="182">
        <f t="shared" si="16"/>
        <v>0</v>
      </c>
      <c r="E112" s="183">
        <f t="shared" si="17"/>
        <v>1.12E-4</v>
      </c>
      <c r="F112" s="183" t="e">
        <f t="shared" si="18"/>
        <v>#REF!</v>
      </c>
      <c r="H112" s="183" t="e">
        <f t="shared" si="19"/>
        <v>#N/A</v>
      </c>
      <c r="J112" s="183">
        <v>82</v>
      </c>
      <c r="K112" s="184" t="e">
        <f t="shared" si="20"/>
        <v>#N/A</v>
      </c>
      <c r="L112" s="185" t="e">
        <f>IF(K112="","",VLOOKUP(K112,'Database Lab+Equip'!$G:$I,3,FALSE))</f>
        <v>#N/A</v>
      </c>
      <c r="M112" s="185" t="e">
        <f>IF(K112="","",SUMIF('Installation 1'!B:B,'Budget-Labour Equipment'!K112,'Installation 1'!I:I)+SUMIF('Subcontract 2'!B:B,'Budget-Labour Equipment'!K112,'Subcontract 2'!I:I)+SUMIF('Optional-3'!B:B,'Budget-Labour Equipment'!K112,'Optional-3'!I:I)+SUMIF('Mob-Demob'!B:B,'Budget-Labour Equipment'!K112,'Mob-Demob'!I:I))</f>
        <v>#N/A</v>
      </c>
      <c r="N112" s="186" t="e">
        <f>IF(K112="","",RANK(L112,$L$31:$L$135)+COUNTIF($L$31:L112,L112)-1)</f>
        <v>#N/A</v>
      </c>
      <c r="P112" s="183" t="e">
        <f t="shared" si="21"/>
        <v>#N/A</v>
      </c>
      <c r="R112" s="32">
        <v>82</v>
      </c>
      <c r="S112" s="31" t="e">
        <f t="shared" si="22"/>
        <v>#N/A</v>
      </c>
      <c r="T112" s="177" t="e">
        <f>IF(S112="","",VLOOKUP(S112,'Database Lab+Equip'!$G:$I,3,FALSE))</f>
        <v>#N/A</v>
      </c>
      <c r="U112" s="177" t="e">
        <f>IF(S112="","",(SUMIF('Installation 1'!B:B,'Budget-Labour Equipment'!S112,'Installation 1'!I:I)+SUMIF('Subcontract 2'!B:B,'Budget-Labour Equipment'!S112,'Subcontract 2'!I:I)+SUMIF('Optional-3'!B:B,'Budget-Labour Equipment'!S112,'Optional-3'!I:I)+SUMIF('Mob-Demob'!B:B,'Budget-Labour Equipment'!S112,'Mob-Demob'!I:I)+SUMIF(Prelims!B:B,'Budget-Labour Equipment'!S112,Prelims!I:I)))</f>
        <v>#N/A</v>
      </c>
      <c r="V112" s="178" t="e">
        <f t="shared" si="23"/>
        <v>#N/A</v>
      </c>
    </row>
    <row r="113" spans="1:22" x14ac:dyDescent="0.3">
      <c r="A113" s="57" t="str">
        <f>IF('Database Lab+Equip'!G47="","Equip. Resource",'Database Lab+Equip'!G47)</f>
        <v>Teleporter 4t c/w Forks and Bucket</v>
      </c>
      <c r="B113" s="181">
        <f>IF(A113="Equip. Resource",0,VLOOKUP(A113,'Database Lab+Equip'!G:I,3,FALSE))</f>
        <v>489.99999999999994</v>
      </c>
      <c r="C113" s="181">
        <f>IF(SUMIF('Installation 1'!B:B,'Budget-Labour Equipment'!A113,'Installation 1'!I:I)+SUMIF('Subcontract 2'!B:B,'Budget-Labour Equipment'!A113,'Subcontract 2'!I:I)+SUMIF('Optional-3'!B:B,'Budget-Labour Equipment'!A113,'Optional-3'!I:I)+SUMIF('Mob-Demob'!B:B,'Budget-Labour Equipment'!A113,'Mob-Demob'!I:I)+SUMIF(Prelims!B:B,'Budget-Labour Equipment'!A113,Prelims!I:I)=0,0,(SUMIF('Installation 1'!B:B,'Budget-Labour Equipment'!A113,'Installation 1'!I:I)+SUMIF('Subcontract 2'!B:B,'Budget-Labour Equipment'!A113,'Subcontract 2'!I:I)+SUMIF('Optional-3'!B:B,'Budget-Labour Equipment'!A113,'Optional-3'!I:I)+SUMIF('Mob-Demob'!B:B,'Budget-Labour Equipment'!A113,'Mob-Demob'!I:I)+SUMIF(Prelims!B:B,'Budget-Labour Equipment'!A113,Prelims!I:I)))</f>
        <v>0</v>
      </c>
      <c r="D113" s="182">
        <f t="shared" si="16"/>
        <v>0</v>
      </c>
      <c r="E113" s="183">
        <f t="shared" si="17"/>
        <v>1.13E-4</v>
      </c>
      <c r="F113" s="183" t="e">
        <f t="shared" si="18"/>
        <v>#REF!</v>
      </c>
      <c r="H113" s="183" t="e">
        <f t="shared" si="19"/>
        <v>#N/A</v>
      </c>
      <c r="J113" s="183">
        <v>83</v>
      </c>
      <c r="K113" s="184" t="e">
        <f t="shared" si="20"/>
        <v>#N/A</v>
      </c>
      <c r="L113" s="185" t="e">
        <f>IF(K113="","",VLOOKUP(K113,'Database Lab+Equip'!$G:$I,3,FALSE))</f>
        <v>#N/A</v>
      </c>
      <c r="M113" s="185" t="e">
        <f>IF(K113="","",SUMIF('Installation 1'!B:B,'Budget-Labour Equipment'!K113,'Installation 1'!I:I)+SUMIF('Subcontract 2'!B:B,'Budget-Labour Equipment'!K113,'Subcontract 2'!I:I)+SUMIF('Optional-3'!B:B,'Budget-Labour Equipment'!K113,'Optional-3'!I:I)+SUMIF('Mob-Demob'!B:B,'Budget-Labour Equipment'!K113,'Mob-Demob'!I:I))</f>
        <v>#N/A</v>
      </c>
      <c r="N113" s="186" t="e">
        <f>IF(K113="","",RANK(L113,$L$31:$L$135)+COUNTIF($L$31:L113,L113)-1)</f>
        <v>#N/A</v>
      </c>
      <c r="P113" s="183" t="e">
        <f t="shared" si="21"/>
        <v>#N/A</v>
      </c>
      <c r="R113" s="32">
        <v>83</v>
      </c>
      <c r="S113" s="31" t="e">
        <f t="shared" si="22"/>
        <v>#N/A</v>
      </c>
      <c r="T113" s="177" t="e">
        <f>IF(S113="","",VLOOKUP(S113,'Database Lab+Equip'!$G:$I,3,FALSE))</f>
        <v>#N/A</v>
      </c>
      <c r="U113" s="177" t="e">
        <f>IF(S113="","",(SUMIF('Installation 1'!B:B,'Budget-Labour Equipment'!S113,'Installation 1'!I:I)+SUMIF('Subcontract 2'!B:B,'Budget-Labour Equipment'!S113,'Subcontract 2'!I:I)+SUMIF('Optional-3'!B:B,'Budget-Labour Equipment'!S113,'Optional-3'!I:I)+SUMIF('Mob-Demob'!B:B,'Budget-Labour Equipment'!S113,'Mob-Demob'!I:I)+SUMIF(Prelims!B:B,'Budget-Labour Equipment'!S113,Prelims!I:I)))</f>
        <v>#N/A</v>
      </c>
      <c r="V113" s="178" t="e">
        <f t="shared" si="23"/>
        <v>#N/A</v>
      </c>
    </row>
    <row r="114" spans="1:22" x14ac:dyDescent="0.3">
      <c r="A114" s="57" t="str">
        <f>IF('Database Lab+Equip'!G48="","Equip. Resource",'Database Lab+Equip'!G48)</f>
        <v>Teleporter 6t c/w Forks and Bucket</v>
      </c>
      <c r="B114" s="181">
        <f>IF(A114="Equip. Resource",0,VLOOKUP(A114,'Database Lab+Equip'!G:I,3,FALSE))</f>
        <v>630</v>
      </c>
      <c r="C114" s="181">
        <f>IF(SUMIF('Installation 1'!B:B,'Budget-Labour Equipment'!A114,'Installation 1'!I:I)+SUMIF('Subcontract 2'!B:B,'Budget-Labour Equipment'!A114,'Subcontract 2'!I:I)+SUMIF('Optional-3'!B:B,'Budget-Labour Equipment'!A114,'Optional-3'!I:I)+SUMIF('Mob-Demob'!B:B,'Budget-Labour Equipment'!A114,'Mob-Demob'!I:I)+SUMIF(Prelims!B:B,'Budget-Labour Equipment'!A114,Prelims!I:I)=0,0,(SUMIF('Installation 1'!B:B,'Budget-Labour Equipment'!A114,'Installation 1'!I:I)+SUMIF('Subcontract 2'!B:B,'Budget-Labour Equipment'!A114,'Subcontract 2'!I:I)+SUMIF('Optional-3'!B:B,'Budget-Labour Equipment'!A114,'Optional-3'!I:I)+SUMIF('Mob-Demob'!B:B,'Budget-Labour Equipment'!A114,'Mob-Demob'!I:I)+SUMIF(Prelims!B:B,'Budget-Labour Equipment'!A114,Prelims!I:I)))</f>
        <v>0</v>
      </c>
      <c r="D114" s="182">
        <f t="shared" si="16"/>
        <v>0</v>
      </c>
      <c r="E114" s="183">
        <f t="shared" si="17"/>
        <v>1.1399999999999999E-4</v>
      </c>
      <c r="F114" s="183" t="e">
        <f t="shared" si="18"/>
        <v>#REF!</v>
      </c>
      <c r="H114" s="183" t="e">
        <f t="shared" si="19"/>
        <v>#N/A</v>
      </c>
      <c r="J114" s="183">
        <v>84</v>
      </c>
      <c r="K114" s="184" t="e">
        <f t="shared" si="20"/>
        <v>#N/A</v>
      </c>
      <c r="L114" s="185" t="e">
        <f>IF(K114="","",VLOOKUP(K114,'Database Lab+Equip'!$G:$I,3,FALSE))</f>
        <v>#N/A</v>
      </c>
      <c r="M114" s="185" t="e">
        <f>IF(K114="","",SUMIF('Installation 1'!B:B,'Budget-Labour Equipment'!K114,'Installation 1'!I:I)+SUMIF('Subcontract 2'!B:B,'Budget-Labour Equipment'!K114,'Subcontract 2'!I:I)+SUMIF('Optional-3'!B:B,'Budget-Labour Equipment'!K114,'Optional-3'!I:I)+SUMIF('Mob-Demob'!B:B,'Budget-Labour Equipment'!K114,'Mob-Demob'!I:I))</f>
        <v>#N/A</v>
      </c>
      <c r="N114" s="186" t="e">
        <f>IF(K114="","",RANK(L114,$L$31:$L$135)+COUNTIF($L$31:L114,L114)-1)</f>
        <v>#N/A</v>
      </c>
      <c r="P114" s="183" t="e">
        <f t="shared" si="21"/>
        <v>#N/A</v>
      </c>
      <c r="R114" s="32">
        <v>84</v>
      </c>
      <c r="S114" s="31" t="e">
        <f t="shared" si="22"/>
        <v>#N/A</v>
      </c>
      <c r="T114" s="177" t="e">
        <f>IF(S114="","",VLOOKUP(S114,'Database Lab+Equip'!$G:$I,3,FALSE))</f>
        <v>#N/A</v>
      </c>
      <c r="U114" s="177" t="e">
        <f>IF(S114="","",(SUMIF('Installation 1'!B:B,'Budget-Labour Equipment'!S114,'Installation 1'!I:I)+SUMIF('Subcontract 2'!B:B,'Budget-Labour Equipment'!S114,'Subcontract 2'!I:I)+SUMIF('Optional-3'!B:B,'Budget-Labour Equipment'!S114,'Optional-3'!I:I)+SUMIF('Mob-Demob'!B:B,'Budget-Labour Equipment'!S114,'Mob-Demob'!I:I)+SUMIF(Prelims!B:B,'Budget-Labour Equipment'!S114,Prelims!I:I)))</f>
        <v>#N/A</v>
      </c>
      <c r="V114" s="178" t="e">
        <f t="shared" si="23"/>
        <v>#N/A</v>
      </c>
    </row>
    <row r="115" spans="1:22" x14ac:dyDescent="0.3">
      <c r="A115" s="57" t="str">
        <f>IF('Database Lab+Equip'!G49="","Equip. Resource",'Database Lab+Equip'!G49)</f>
        <v>Trailer 10x6 Tandem Axle 2000Kg</v>
      </c>
      <c r="B115" s="181">
        <f>IF(A115="Equip. Resource",0,VLOOKUP(A115,'Database Lab+Equip'!G:I,3,FALSE))</f>
        <v>90</v>
      </c>
      <c r="C115" s="181">
        <f>IF(SUMIF('Installation 1'!B:B,'Budget-Labour Equipment'!A115,'Installation 1'!I:I)+SUMIF('Subcontract 2'!B:B,'Budget-Labour Equipment'!A115,'Subcontract 2'!I:I)+SUMIF('Optional-3'!B:B,'Budget-Labour Equipment'!A115,'Optional-3'!I:I)+SUMIF('Mob-Demob'!B:B,'Budget-Labour Equipment'!A115,'Mob-Demob'!I:I)+SUMIF(Prelims!B:B,'Budget-Labour Equipment'!A115,Prelims!I:I)=0,0,(SUMIF('Installation 1'!B:B,'Budget-Labour Equipment'!A115,'Installation 1'!I:I)+SUMIF('Subcontract 2'!B:B,'Budget-Labour Equipment'!A115,'Subcontract 2'!I:I)+SUMIF('Optional-3'!B:B,'Budget-Labour Equipment'!A115,'Optional-3'!I:I)+SUMIF('Mob-Demob'!B:B,'Budget-Labour Equipment'!A115,'Mob-Demob'!I:I)+SUMIF(Prelims!B:B,'Budget-Labour Equipment'!A115,Prelims!I:I)))</f>
        <v>0</v>
      </c>
      <c r="D115" s="182">
        <f t="shared" si="16"/>
        <v>0</v>
      </c>
      <c r="E115" s="183">
        <f t="shared" si="17"/>
        <v>1.1499999999999999E-4</v>
      </c>
      <c r="F115" s="183" t="e">
        <f t="shared" si="18"/>
        <v>#REF!</v>
      </c>
      <c r="H115" s="183" t="e">
        <f t="shared" si="19"/>
        <v>#N/A</v>
      </c>
      <c r="J115" s="183">
        <v>85</v>
      </c>
      <c r="K115" s="184" t="e">
        <f t="shared" si="20"/>
        <v>#N/A</v>
      </c>
      <c r="L115" s="185" t="e">
        <f>IF(K115="","",VLOOKUP(K115,'Database Lab+Equip'!$G:$I,3,FALSE))</f>
        <v>#N/A</v>
      </c>
      <c r="M115" s="185" t="e">
        <f>IF(K115="","",SUMIF('Installation 1'!B:B,'Budget-Labour Equipment'!K115,'Installation 1'!I:I)+SUMIF('Subcontract 2'!B:B,'Budget-Labour Equipment'!K115,'Subcontract 2'!I:I)+SUMIF('Optional-3'!B:B,'Budget-Labour Equipment'!K115,'Optional-3'!I:I)+SUMIF('Mob-Demob'!B:B,'Budget-Labour Equipment'!K115,'Mob-Demob'!I:I))</f>
        <v>#N/A</v>
      </c>
      <c r="N115" s="186" t="e">
        <f>IF(K115="","",RANK(L115,$L$31:$L$135)+COUNTIF($L$31:L115,L115)-1)</f>
        <v>#N/A</v>
      </c>
      <c r="P115" s="183" t="e">
        <f t="shared" si="21"/>
        <v>#N/A</v>
      </c>
      <c r="R115" s="32">
        <v>85</v>
      </c>
      <c r="S115" s="31" t="e">
        <f t="shared" si="22"/>
        <v>#N/A</v>
      </c>
      <c r="T115" s="177" t="e">
        <f>IF(S115="","",VLOOKUP(S115,'Database Lab+Equip'!$G:$I,3,FALSE))</f>
        <v>#N/A</v>
      </c>
      <c r="U115" s="177" t="e">
        <f>IF(S115="","",(SUMIF('Installation 1'!B:B,'Budget-Labour Equipment'!S115,'Installation 1'!I:I)+SUMIF('Subcontract 2'!B:B,'Budget-Labour Equipment'!S115,'Subcontract 2'!I:I)+SUMIF('Optional-3'!B:B,'Budget-Labour Equipment'!S115,'Optional-3'!I:I)+SUMIF('Mob-Demob'!B:B,'Budget-Labour Equipment'!S115,'Mob-Demob'!I:I)+SUMIF(Prelims!B:B,'Budget-Labour Equipment'!S115,Prelims!I:I)))</f>
        <v>#N/A</v>
      </c>
      <c r="V115" s="178" t="e">
        <f t="shared" si="23"/>
        <v>#N/A</v>
      </c>
    </row>
    <row r="116" spans="1:22" x14ac:dyDescent="0.3">
      <c r="A116" s="57" t="str">
        <f>IF('Database Lab+Equip'!G50="","Equip. Resource",'Database Lab+Equip'!G50)</f>
        <v>Trailer Fuel 2,000L Tandem Axle</v>
      </c>
      <c r="B116" s="181">
        <f>IF(A116="Equip. Resource",0,VLOOKUP(A116,'Database Lab+Equip'!G:I,3,FALSE))</f>
        <v>203</v>
      </c>
      <c r="C116" s="181">
        <f>IF(SUMIF('Installation 1'!B:B,'Budget-Labour Equipment'!A116,'Installation 1'!I:I)+SUMIF('Subcontract 2'!B:B,'Budget-Labour Equipment'!A116,'Subcontract 2'!I:I)+SUMIF('Optional-3'!B:B,'Budget-Labour Equipment'!A116,'Optional-3'!I:I)+SUMIF('Mob-Demob'!B:B,'Budget-Labour Equipment'!A116,'Mob-Demob'!I:I)+SUMIF(Prelims!B:B,'Budget-Labour Equipment'!A116,Prelims!I:I)=0,0,(SUMIF('Installation 1'!B:B,'Budget-Labour Equipment'!A116,'Installation 1'!I:I)+SUMIF('Subcontract 2'!B:B,'Budget-Labour Equipment'!A116,'Subcontract 2'!I:I)+SUMIF('Optional-3'!B:B,'Budget-Labour Equipment'!A116,'Optional-3'!I:I)+SUMIF('Mob-Demob'!B:B,'Budget-Labour Equipment'!A116,'Mob-Demob'!I:I)+SUMIF(Prelims!B:B,'Budget-Labour Equipment'!A116,Prelims!I:I)))</f>
        <v>17478.3</v>
      </c>
      <c r="D116" s="182">
        <f t="shared" si="16"/>
        <v>86.1</v>
      </c>
      <c r="E116" s="183">
        <f t="shared" si="17"/>
        <v>86.100116</v>
      </c>
      <c r="F116" s="183" t="e">
        <f t="shared" si="18"/>
        <v>#REF!</v>
      </c>
      <c r="H116" s="183" t="e">
        <f t="shared" si="19"/>
        <v>#N/A</v>
      </c>
      <c r="J116" s="183">
        <v>86</v>
      </c>
      <c r="K116" s="184" t="e">
        <f t="shared" si="20"/>
        <v>#N/A</v>
      </c>
      <c r="L116" s="185" t="e">
        <f>IF(K116="","",VLOOKUP(K116,'Database Lab+Equip'!$G:$I,3,FALSE))</f>
        <v>#N/A</v>
      </c>
      <c r="M116" s="185" t="e">
        <f>IF(K116="","",SUMIF('Installation 1'!B:B,'Budget-Labour Equipment'!K116,'Installation 1'!I:I)+SUMIF('Subcontract 2'!B:B,'Budget-Labour Equipment'!K116,'Subcontract 2'!I:I)+SUMIF('Optional-3'!B:B,'Budget-Labour Equipment'!K116,'Optional-3'!I:I)+SUMIF('Mob-Demob'!B:B,'Budget-Labour Equipment'!K116,'Mob-Demob'!I:I))</f>
        <v>#N/A</v>
      </c>
      <c r="N116" s="186" t="e">
        <f>IF(K116="","",RANK(L116,$L$31:$L$135)+COUNTIF($L$31:L116,L116)-1)</f>
        <v>#N/A</v>
      </c>
      <c r="P116" s="183" t="e">
        <f t="shared" si="21"/>
        <v>#N/A</v>
      </c>
      <c r="R116" s="32">
        <v>86</v>
      </c>
      <c r="S116" s="31" t="e">
        <f t="shared" si="22"/>
        <v>#N/A</v>
      </c>
      <c r="T116" s="177" t="e">
        <f>IF(S116="","",VLOOKUP(S116,'Database Lab+Equip'!$G:$I,3,FALSE))</f>
        <v>#N/A</v>
      </c>
      <c r="U116" s="177" t="e">
        <f>IF(S116="","",(SUMIF('Installation 1'!B:B,'Budget-Labour Equipment'!S116,'Installation 1'!I:I)+SUMIF('Subcontract 2'!B:B,'Budget-Labour Equipment'!S116,'Subcontract 2'!I:I)+SUMIF('Optional-3'!B:B,'Budget-Labour Equipment'!S116,'Optional-3'!I:I)+SUMIF('Mob-Demob'!B:B,'Budget-Labour Equipment'!S116,'Mob-Demob'!I:I)+SUMIF(Prelims!B:B,'Budget-Labour Equipment'!S116,Prelims!I:I)))</f>
        <v>#N/A</v>
      </c>
      <c r="V116" s="178" t="e">
        <f t="shared" si="23"/>
        <v>#N/A</v>
      </c>
    </row>
    <row r="117" spans="1:22" x14ac:dyDescent="0.3">
      <c r="A117" s="57" t="str">
        <f>IF('Database Lab+Equip'!G51="","Equip. Resource",'Database Lab+Equip'!G51)</f>
        <v>Tandem Axle Pipe Uncoiling Trailer</v>
      </c>
      <c r="B117" s="181">
        <f>IF(A117="Equip. Resource",0,VLOOKUP(A117,'Database Lab+Equip'!G:I,3,FALSE))</f>
        <v>270</v>
      </c>
      <c r="C117" s="181">
        <f>IF(SUMIF('Installation 1'!B:B,'Budget-Labour Equipment'!A117,'Installation 1'!I:I)+SUMIF('Subcontract 2'!B:B,'Budget-Labour Equipment'!A117,'Subcontract 2'!I:I)+SUMIF('Optional-3'!B:B,'Budget-Labour Equipment'!A117,'Optional-3'!I:I)+SUMIF('Mob-Demob'!B:B,'Budget-Labour Equipment'!A117,'Mob-Demob'!I:I)+SUMIF(Prelims!B:B,'Budget-Labour Equipment'!A117,Prelims!I:I)=0,0,(SUMIF('Installation 1'!B:B,'Budget-Labour Equipment'!A117,'Installation 1'!I:I)+SUMIF('Subcontract 2'!B:B,'Budget-Labour Equipment'!A117,'Subcontract 2'!I:I)+SUMIF('Optional-3'!B:B,'Budget-Labour Equipment'!A117,'Optional-3'!I:I)+SUMIF('Mob-Demob'!B:B,'Budget-Labour Equipment'!A117,'Mob-Demob'!I:I)+SUMIF(Prelims!B:B,'Budget-Labour Equipment'!A117,Prelims!I:I)))</f>
        <v>0</v>
      </c>
      <c r="D117" s="182">
        <f t="shared" si="16"/>
        <v>0</v>
      </c>
      <c r="E117" s="183">
        <f t="shared" si="17"/>
        <v>1.17E-4</v>
      </c>
      <c r="F117" s="183" t="e">
        <f t="shared" si="18"/>
        <v>#REF!</v>
      </c>
      <c r="H117" s="183" t="e">
        <f t="shared" si="19"/>
        <v>#N/A</v>
      </c>
      <c r="J117" s="183">
        <v>87</v>
      </c>
      <c r="K117" s="184" t="e">
        <f t="shared" si="20"/>
        <v>#N/A</v>
      </c>
      <c r="L117" s="185" t="e">
        <f>IF(K117="","",VLOOKUP(K117,'Database Lab+Equip'!$G:$I,3,FALSE))</f>
        <v>#N/A</v>
      </c>
      <c r="M117" s="185" t="e">
        <f>IF(K117="","",SUMIF('Installation 1'!B:B,'Budget-Labour Equipment'!K117,'Installation 1'!I:I)+SUMIF('Subcontract 2'!B:B,'Budget-Labour Equipment'!K117,'Subcontract 2'!I:I)+SUMIF('Optional-3'!B:B,'Budget-Labour Equipment'!K117,'Optional-3'!I:I)+SUMIF('Mob-Demob'!B:B,'Budget-Labour Equipment'!K117,'Mob-Demob'!I:I))</f>
        <v>#N/A</v>
      </c>
      <c r="N117" s="186" t="e">
        <f>IF(K117="","",RANK(L117,$L$31:$L$135)+COUNTIF($L$31:L117,L117)-1)</f>
        <v>#N/A</v>
      </c>
      <c r="P117" s="183" t="e">
        <f t="shared" si="21"/>
        <v>#N/A</v>
      </c>
      <c r="R117" s="32">
        <v>87</v>
      </c>
      <c r="S117" s="31" t="e">
        <f t="shared" si="22"/>
        <v>#N/A</v>
      </c>
      <c r="T117" s="177" t="e">
        <f>IF(S117="","",VLOOKUP(S117,'Database Lab+Equip'!$G:$I,3,FALSE))</f>
        <v>#N/A</v>
      </c>
      <c r="U117" s="177" t="e">
        <f>IF(S117="","",(SUMIF('Installation 1'!B:B,'Budget-Labour Equipment'!S117,'Installation 1'!I:I)+SUMIF('Subcontract 2'!B:B,'Budget-Labour Equipment'!S117,'Subcontract 2'!I:I)+SUMIF('Optional-3'!B:B,'Budget-Labour Equipment'!S117,'Optional-3'!I:I)+SUMIF('Mob-Demob'!B:B,'Budget-Labour Equipment'!S117,'Mob-Demob'!I:I)+SUMIF(Prelims!B:B,'Budget-Labour Equipment'!S117,Prelims!I:I)))</f>
        <v>#N/A</v>
      </c>
      <c r="V117" s="178" t="e">
        <f t="shared" si="23"/>
        <v>#N/A</v>
      </c>
    </row>
    <row r="118" spans="1:22" x14ac:dyDescent="0.3">
      <c r="A118" s="57" t="str">
        <f>IF('Database Lab+Equip'!G52="","Equip. Resource",'Database Lab+Equip'!G52)</f>
        <v>Leister Astro Wedge Welder</v>
      </c>
      <c r="B118" s="181">
        <f>IF(A118="Equip. Resource",0,VLOOKUP(A118,'Database Lab+Equip'!G:I,3,FALSE))</f>
        <v>360</v>
      </c>
      <c r="C118" s="181">
        <f>IF(SUMIF('Installation 1'!B:B,'Budget-Labour Equipment'!A118,'Installation 1'!I:I)+SUMIF('Subcontract 2'!B:B,'Budget-Labour Equipment'!A118,'Subcontract 2'!I:I)+SUMIF('Optional-3'!B:B,'Budget-Labour Equipment'!A118,'Optional-3'!I:I)+SUMIF('Mob-Demob'!B:B,'Budget-Labour Equipment'!A118,'Mob-Demob'!I:I)+SUMIF(Prelims!B:B,'Budget-Labour Equipment'!A118,Prelims!I:I)=0,0,(SUMIF('Installation 1'!B:B,'Budget-Labour Equipment'!A118,'Installation 1'!I:I)+SUMIF('Subcontract 2'!B:B,'Budget-Labour Equipment'!A118,'Subcontract 2'!I:I)+SUMIF('Optional-3'!B:B,'Budget-Labour Equipment'!A118,'Optional-3'!I:I)+SUMIF('Mob-Demob'!B:B,'Budget-Labour Equipment'!A118,'Mob-Demob'!I:I)+SUMIF(Prelims!B:B,'Budget-Labour Equipment'!A118,Prelims!I:I)))</f>
        <v>0</v>
      </c>
      <c r="D118" s="182">
        <f t="shared" si="16"/>
        <v>0</v>
      </c>
      <c r="E118" s="183">
        <f t="shared" si="17"/>
        <v>1.18E-4</v>
      </c>
      <c r="F118" s="183" t="e">
        <f t="shared" si="18"/>
        <v>#REF!</v>
      </c>
      <c r="H118" s="183" t="e">
        <f t="shared" si="19"/>
        <v>#N/A</v>
      </c>
      <c r="J118" s="183">
        <v>88</v>
      </c>
      <c r="K118" s="184" t="e">
        <f t="shared" si="20"/>
        <v>#N/A</v>
      </c>
      <c r="L118" s="185" t="e">
        <f>IF(K118="","",VLOOKUP(K118,'Database Lab+Equip'!$G:$I,3,FALSE))</f>
        <v>#N/A</v>
      </c>
      <c r="M118" s="185" t="e">
        <f>IF(K118="","",SUMIF('Installation 1'!B:B,'Budget-Labour Equipment'!K118,'Installation 1'!I:I)+SUMIF('Subcontract 2'!B:B,'Budget-Labour Equipment'!K118,'Subcontract 2'!I:I)+SUMIF('Optional-3'!B:B,'Budget-Labour Equipment'!K118,'Optional-3'!I:I)+SUMIF('Mob-Demob'!B:B,'Budget-Labour Equipment'!K118,'Mob-Demob'!I:I))</f>
        <v>#N/A</v>
      </c>
      <c r="N118" s="186" t="e">
        <f>IF(K118="","",RANK(L118,$L$31:$L$135)+COUNTIF($L$31:L118,L118)-1)</f>
        <v>#N/A</v>
      </c>
      <c r="P118" s="183" t="e">
        <f t="shared" si="21"/>
        <v>#N/A</v>
      </c>
      <c r="R118" s="32">
        <v>88</v>
      </c>
      <c r="S118" s="31" t="e">
        <f t="shared" si="22"/>
        <v>#N/A</v>
      </c>
      <c r="T118" s="177" t="e">
        <f>IF(S118="","",VLOOKUP(S118,'Database Lab+Equip'!$G:$I,3,FALSE))</f>
        <v>#N/A</v>
      </c>
      <c r="U118" s="177" t="e">
        <f>IF(S118="","",(SUMIF('Installation 1'!B:B,'Budget-Labour Equipment'!S118,'Installation 1'!I:I)+SUMIF('Subcontract 2'!B:B,'Budget-Labour Equipment'!S118,'Subcontract 2'!I:I)+SUMIF('Optional-3'!B:B,'Budget-Labour Equipment'!S118,'Optional-3'!I:I)+SUMIF('Mob-Demob'!B:B,'Budget-Labour Equipment'!S118,'Mob-Demob'!I:I)+SUMIF(Prelims!B:B,'Budget-Labour Equipment'!S118,Prelims!I:I)))</f>
        <v>#N/A</v>
      </c>
      <c r="V118" s="178" t="e">
        <f t="shared" si="23"/>
        <v>#N/A</v>
      </c>
    </row>
    <row r="119" spans="1:22" x14ac:dyDescent="0.3">
      <c r="A119" s="57" t="str">
        <f>IF('Database Lab+Equip'!G53="","Equip. Resource",'Database Lab+Equip'!G53)</f>
        <v>Caddy Welder</v>
      </c>
      <c r="B119" s="181">
        <f>IF(A119="Equip. Resource",0,VLOOKUP(A119,'Database Lab+Equip'!G:I,3,FALSE))</f>
        <v>63</v>
      </c>
      <c r="C119" s="181">
        <f>IF(SUMIF('Installation 1'!B:B,'Budget-Labour Equipment'!A119,'Installation 1'!I:I)+SUMIF('Subcontract 2'!B:B,'Budget-Labour Equipment'!A119,'Subcontract 2'!I:I)+SUMIF('Optional-3'!B:B,'Budget-Labour Equipment'!A119,'Optional-3'!I:I)+SUMIF('Mob-Demob'!B:B,'Budget-Labour Equipment'!A119,'Mob-Demob'!I:I)+SUMIF(Prelims!B:B,'Budget-Labour Equipment'!A119,Prelims!I:I)=0,0,(SUMIF('Installation 1'!B:B,'Budget-Labour Equipment'!A119,'Installation 1'!I:I)+SUMIF('Subcontract 2'!B:B,'Budget-Labour Equipment'!A119,'Subcontract 2'!I:I)+SUMIF('Optional-3'!B:B,'Budget-Labour Equipment'!A119,'Optional-3'!I:I)+SUMIF('Mob-Demob'!B:B,'Budget-Labour Equipment'!A119,'Mob-Demob'!I:I)+SUMIF(Prelims!B:B,'Budget-Labour Equipment'!A119,Prelims!I:I)))</f>
        <v>0</v>
      </c>
      <c r="D119" s="182">
        <f t="shared" si="16"/>
        <v>0</v>
      </c>
      <c r="E119" s="183">
        <f t="shared" si="17"/>
        <v>1.1899999999999999E-4</v>
      </c>
      <c r="F119" s="183" t="e">
        <f t="shared" si="18"/>
        <v>#REF!</v>
      </c>
      <c r="H119" s="183" t="e">
        <f t="shared" si="19"/>
        <v>#N/A</v>
      </c>
      <c r="J119" s="183">
        <v>89</v>
      </c>
      <c r="K119" s="184" t="e">
        <f t="shared" si="20"/>
        <v>#N/A</v>
      </c>
      <c r="L119" s="185" t="e">
        <f>IF(K119="","",VLOOKUP(K119,'Database Lab+Equip'!$G:$I,3,FALSE))</f>
        <v>#N/A</v>
      </c>
      <c r="M119" s="185" t="e">
        <f>IF(K119="","",SUMIF('Installation 1'!B:B,'Budget-Labour Equipment'!K119,'Installation 1'!I:I)+SUMIF('Subcontract 2'!B:B,'Budget-Labour Equipment'!K119,'Subcontract 2'!I:I)+SUMIF('Optional-3'!B:B,'Budget-Labour Equipment'!K119,'Optional-3'!I:I)+SUMIF('Mob-Demob'!B:B,'Budget-Labour Equipment'!K119,'Mob-Demob'!I:I))</f>
        <v>#N/A</v>
      </c>
      <c r="N119" s="186" t="e">
        <f>IF(K119="","",RANK(L119,$L$31:$L$135)+COUNTIF($L$31:L119,L119)-1)</f>
        <v>#N/A</v>
      </c>
      <c r="P119" s="183" t="e">
        <f t="shared" si="21"/>
        <v>#N/A</v>
      </c>
      <c r="R119" s="32">
        <v>89</v>
      </c>
      <c r="S119" s="31" t="e">
        <f t="shared" si="22"/>
        <v>#N/A</v>
      </c>
      <c r="T119" s="177" t="e">
        <f>IF(S119="","",VLOOKUP(S119,'Database Lab+Equip'!$G:$I,3,FALSE))</f>
        <v>#N/A</v>
      </c>
      <c r="U119" s="177" t="e">
        <f>IF(S119="","",(SUMIF('Installation 1'!B:B,'Budget-Labour Equipment'!S119,'Installation 1'!I:I)+SUMIF('Subcontract 2'!B:B,'Budget-Labour Equipment'!S119,'Subcontract 2'!I:I)+SUMIF('Optional-3'!B:B,'Budget-Labour Equipment'!S119,'Optional-3'!I:I)+SUMIF('Mob-Demob'!B:B,'Budget-Labour Equipment'!S119,'Mob-Demob'!I:I)+SUMIF(Prelims!B:B,'Budget-Labour Equipment'!S119,Prelims!I:I)))</f>
        <v>#N/A</v>
      </c>
      <c r="V119" s="178" t="e">
        <f t="shared" si="23"/>
        <v>#N/A</v>
      </c>
    </row>
    <row r="120" spans="1:22" x14ac:dyDescent="0.3">
      <c r="A120" s="57" t="e">
        <f>IF('Database Lab+Equip'!#REF!="","Equip. Resource",'Database Lab+Equip'!#REF!)</f>
        <v>#REF!</v>
      </c>
      <c r="B120" s="181" t="e">
        <f>IF(A120="Equip. Resource",0,VLOOKUP(A120,'Database Lab+Equip'!G:I,3,FALSE))</f>
        <v>#REF!</v>
      </c>
      <c r="C120" s="181">
        <f>IF(SUMIF('Installation 1'!B:B,'Budget-Labour Equipment'!A120,'Installation 1'!I:I)+SUMIF('Subcontract 2'!B:B,'Budget-Labour Equipment'!A120,'Subcontract 2'!I:I)+SUMIF('Optional-3'!B:B,'Budget-Labour Equipment'!A120,'Optional-3'!I:I)+SUMIF('Mob-Demob'!B:B,'Budget-Labour Equipment'!A120,'Mob-Demob'!I:I)+SUMIF(Prelims!B:B,'Budget-Labour Equipment'!A120,Prelims!I:I)=0,0,(SUMIF('Installation 1'!B:B,'Budget-Labour Equipment'!A120,'Installation 1'!I:I)+SUMIF('Subcontract 2'!B:B,'Budget-Labour Equipment'!A120,'Subcontract 2'!I:I)+SUMIF('Optional-3'!B:B,'Budget-Labour Equipment'!A120,'Optional-3'!I:I)+SUMIF('Mob-Demob'!B:B,'Budget-Labour Equipment'!A120,'Mob-Demob'!I:I)+SUMIF(Prelims!B:B,'Budget-Labour Equipment'!A120,Prelims!I:I)))</f>
        <v>0</v>
      </c>
      <c r="D120" s="182" t="e">
        <f t="shared" si="16"/>
        <v>#REF!</v>
      </c>
      <c r="E120" s="183" t="e">
        <f t="shared" si="17"/>
        <v>#REF!</v>
      </c>
      <c r="F120" s="183" t="e">
        <f t="shared" si="18"/>
        <v>#REF!</v>
      </c>
      <c r="H120" s="183" t="e">
        <f t="shared" si="19"/>
        <v>#N/A</v>
      </c>
      <c r="J120" s="183">
        <v>90</v>
      </c>
      <c r="K120" s="184" t="e">
        <f t="shared" si="20"/>
        <v>#N/A</v>
      </c>
      <c r="L120" s="185" t="e">
        <f>IF(K120="","",VLOOKUP(K120,'Database Lab+Equip'!$G:$I,3,FALSE))</f>
        <v>#N/A</v>
      </c>
      <c r="M120" s="185" t="e">
        <f>IF(K120="","",SUMIF('Installation 1'!B:B,'Budget-Labour Equipment'!K120,'Installation 1'!I:I)+SUMIF('Subcontract 2'!B:B,'Budget-Labour Equipment'!K120,'Subcontract 2'!I:I)+SUMIF('Optional-3'!B:B,'Budget-Labour Equipment'!K120,'Optional-3'!I:I)+SUMIF('Mob-Demob'!B:B,'Budget-Labour Equipment'!K120,'Mob-Demob'!I:I))</f>
        <v>#N/A</v>
      </c>
      <c r="N120" s="186" t="e">
        <f>IF(K120="","",RANK(L120,$L$31:$L$135)+COUNTIF($L$31:L120,L120)-1)</f>
        <v>#N/A</v>
      </c>
      <c r="P120" s="183" t="e">
        <f t="shared" si="21"/>
        <v>#N/A</v>
      </c>
      <c r="R120" s="32">
        <v>90</v>
      </c>
      <c r="S120" s="31" t="e">
        <f t="shared" si="22"/>
        <v>#N/A</v>
      </c>
      <c r="T120" s="177" t="e">
        <f>IF(S120="","",VLOOKUP(S120,'Database Lab+Equip'!$G:$I,3,FALSE))</f>
        <v>#N/A</v>
      </c>
      <c r="U120" s="177" t="e">
        <f>IF(S120="","",(SUMIF('Installation 1'!B:B,'Budget-Labour Equipment'!S120,'Installation 1'!I:I)+SUMIF('Subcontract 2'!B:B,'Budget-Labour Equipment'!S120,'Subcontract 2'!I:I)+SUMIF('Optional-3'!B:B,'Budget-Labour Equipment'!S120,'Optional-3'!I:I)+SUMIF('Mob-Demob'!B:B,'Budget-Labour Equipment'!S120,'Mob-Demob'!I:I)+SUMIF(Prelims!B:B,'Budget-Labour Equipment'!S120,Prelims!I:I)))</f>
        <v>#N/A</v>
      </c>
      <c r="V120" s="178" t="e">
        <f t="shared" si="23"/>
        <v>#N/A</v>
      </c>
    </row>
    <row r="121" spans="1:22" x14ac:dyDescent="0.3">
      <c r="A121" s="57" t="str">
        <f>IF('Database Lab+Equip'!G54="","Equip. Resource",'Database Lab+Equip'!G54)</f>
        <v>Sea Container 10 ft - Store Container</v>
      </c>
      <c r="B121" s="181">
        <f>IF(A121="Equip. Resource",0,VLOOKUP(A121,'Database Lab+Equip'!G:I,3,FALSE))</f>
        <v>45</v>
      </c>
      <c r="C121" s="181">
        <f>IF(SUMIF('Installation 1'!B:B,'Budget-Labour Equipment'!A121,'Installation 1'!I:I)+SUMIF('Subcontract 2'!B:B,'Budget-Labour Equipment'!A121,'Subcontract 2'!I:I)+SUMIF('Optional-3'!B:B,'Budget-Labour Equipment'!A121,'Optional-3'!I:I)+SUMIF('Mob-Demob'!B:B,'Budget-Labour Equipment'!A121,'Mob-Demob'!I:I)+SUMIF(Prelims!B:B,'Budget-Labour Equipment'!A121,Prelims!I:I)=0,0,(SUMIF('Installation 1'!B:B,'Budget-Labour Equipment'!A121,'Installation 1'!I:I)+SUMIF('Subcontract 2'!B:B,'Budget-Labour Equipment'!A121,'Subcontract 2'!I:I)+SUMIF('Optional-3'!B:B,'Budget-Labour Equipment'!A121,'Optional-3'!I:I)+SUMIF('Mob-Demob'!B:B,'Budget-Labour Equipment'!A121,'Mob-Demob'!I:I)+SUMIF(Prelims!B:B,'Budget-Labour Equipment'!A121,Prelims!I:I)))</f>
        <v>0</v>
      </c>
      <c r="D121" s="182">
        <f t="shared" si="16"/>
        <v>0</v>
      </c>
      <c r="E121" s="183">
        <f t="shared" si="17"/>
        <v>1.21E-4</v>
      </c>
      <c r="F121" s="183" t="e">
        <f t="shared" si="18"/>
        <v>#REF!</v>
      </c>
      <c r="H121" s="183" t="e">
        <f t="shared" si="19"/>
        <v>#N/A</v>
      </c>
      <c r="J121" s="183">
        <v>91</v>
      </c>
      <c r="K121" s="184" t="e">
        <f t="shared" si="20"/>
        <v>#N/A</v>
      </c>
      <c r="L121" s="185" t="e">
        <f>IF(K121="","",VLOOKUP(K121,'Database Lab+Equip'!$G:$I,3,FALSE))</f>
        <v>#N/A</v>
      </c>
      <c r="M121" s="185" t="e">
        <f>IF(K121="","",SUMIF('Installation 1'!B:B,'Budget-Labour Equipment'!K121,'Installation 1'!I:I)+SUMIF('Subcontract 2'!B:B,'Budget-Labour Equipment'!K121,'Subcontract 2'!I:I)+SUMIF('Optional-3'!B:B,'Budget-Labour Equipment'!K121,'Optional-3'!I:I)+SUMIF('Mob-Demob'!B:B,'Budget-Labour Equipment'!K121,'Mob-Demob'!I:I))</f>
        <v>#N/A</v>
      </c>
      <c r="N121" s="186" t="e">
        <f>IF(K121="","",RANK(L121,$L$31:$L$135)+COUNTIF($L$31:L121,L121)-1)</f>
        <v>#N/A</v>
      </c>
      <c r="P121" s="183" t="e">
        <f t="shared" si="21"/>
        <v>#N/A</v>
      </c>
      <c r="R121" s="32">
        <v>91</v>
      </c>
      <c r="S121" s="31" t="e">
        <f t="shared" si="22"/>
        <v>#N/A</v>
      </c>
      <c r="T121" s="177" t="e">
        <f>IF(S121="","",VLOOKUP(S121,'Database Lab+Equip'!$G:$I,3,FALSE))</f>
        <v>#N/A</v>
      </c>
      <c r="U121" s="177" t="e">
        <f>IF(S121="","",(SUMIF('Installation 1'!B:B,'Budget-Labour Equipment'!S121,'Installation 1'!I:I)+SUMIF('Subcontract 2'!B:B,'Budget-Labour Equipment'!S121,'Subcontract 2'!I:I)+SUMIF('Optional-3'!B:B,'Budget-Labour Equipment'!S121,'Optional-3'!I:I)+SUMIF('Mob-Demob'!B:B,'Budget-Labour Equipment'!S121,'Mob-Demob'!I:I)+SUMIF(Prelims!B:B,'Budget-Labour Equipment'!S121,Prelims!I:I)))</f>
        <v>#N/A</v>
      </c>
      <c r="V121" s="178" t="e">
        <f t="shared" si="23"/>
        <v>#N/A</v>
      </c>
    </row>
    <row r="122" spans="1:22" x14ac:dyDescent="0.3">
      <c r="A122" s="57" t="str">
        <f>IF('Database Lab+Equip'!G55="","Equip. Resource",'Database Lab+Equip'!G55)</f>
        <v>Sea Container 20 ft</v>
      </c>
      <c r="B122" s="181">
        <f>IF(A122="Equip. Resource",0,VLOOKUP(A122,'Database Lab+Equip'!G:I,3,FALSE))</f>
        <v>63</v>
      </c>
      <c r="C122" s="181">
        <f>IF(SUMIF('Installation 1'!B:B,'Budget-Labour Equipment'!A122,'Installation 1'!I:I)+SUMIF('Subcontract 2'!B:B,'Budget-Labour Equipment'!A122,'Subcontract 2'!I:I)+SUMIF('Optional-3'!B:B,'Budget-Labour Equipment'!A122,'Optional-3'!I:I)+SUMIF('Mob-Demob'!B:B,'Budget-Labour Equipment'!A122,'Mob-Demob'!I:I)+SUMIF(Prelims!B:B,'Budget-Labour Equipment'!A122,Prelims!I:I)=0,0,(SUMIF('Installation 1'!B:B,'Budget-Labour Equipment'!A122,'Installation 1'!I:I)+SUMIF('Subcontract 2'!B:B,'Budget-Labour Equipment'!A122,'Subcontract 2'!I:I)+SUMIF('Optional-3'!B:B,'Budget-Labour Equipment'!A122,'Optional-3'!I:I)+SUMIF('Mob-Demob'!B:B,'Budget-Labour Equipment'!A122,'Mob-Demob'!I:I)+SUMIF(Prelims!B:B,'Budget-Labour Equipment'!A122,Prelims!I:I)))</f>
        <v>0</v>
      </c>
      <c r="D122" s="182">
        <f t="shared" si="16"/>
        <v>0</v>
      </c>
      <c r="E122" s="183">
        <f t="shared" si="17"/>
        <v>1.22E-4</v>
      </c>
      <c r="F122" s="183" t="e">
        <f t="shared" si="18"/>
        <v>#REF!</v>
      </c>
      <c r="H122" s="183" t="e">
        <f t="shared" si="19"/>
        <v>#N/A</v>
      </c>
      <c r="J122" s="183">
        <v>92</v>
      </c>
      <c r="K122" s="184" t="e">
        <f t="shared" si="20"/>
        <v>#N/A</v>
      </c>
      <c r="L122" s="185" t="e">
        <f>IF(K122="","",VLOOKUP(K122,'Database Lab+Equip'!$G:$I,3,FALSE))</f>
        <v>#N/A</v>
      </c>
      <c r="M122" s="185" t="e">
        <f>IF(K122="","",SUMIF('Installation 1'!B:B,'Budget-Labour Equipment'!K122,'Installation 1'!I:I)+SUMIF('Subcontract 2'!B:B,'Budget-Labour Equipment'!K122,'Subcontract 2'!I:I)+SUMIF('Optional-3'!B:B,'Budget-Labour Equipment'!K122,'Optional-3'!I:I)+SUMIF('Mob-Demob'!B:B,'Budget-Labour Equipment'!K122,'Mob-Demob'!I:I))</f>
        <v>#N/A</v>
      </c>
      <c r="N122" s="186" t="e">
        <f>IF(K122="","",RANK(L122,$L$31:$L$135)+COUNTIF($L$31:L122,L122)-1)</f>
        <v>#N/A</v>
      </c>
      <c r="P122" s="183" t="e">
        <f t="shared" si="21"/>
        <v>#N/A</v>
      </c>
      <c r="R122" s="32">
        <v>92</v>
      </c>
      <c r="S122" s="31" t="e">
        <f t="shared" si="22"/>
        <v>#N/A</v>
      </c>
      <c r="T122" s="177" t="e">
        <f>IF(S122="","",VLOOKUP(S122,'Database Lab+Equip'!$G:$I,3,FALSE))</f>
        <v>#N/A</v>
      </c>
      <c r="U122" s="177" t="e">
        <f>IF(S122="","",(SUMIF('Installation 1'!B:B,'Budget-Labour Equipment'!S122,'Installation 1'!I:I)+SUMIF('Subcontract 2'!B:B,'Budget-Labour Equipment'!S122,'Subcontract 2'!I:I)+SUMIF('Optional-3'!B:B,'Budget-Labour Equipment'!S122,'Optional-3'!I:I)+SUMIF('Mob-Demob'!B:B,'Budget-Labour Equipment'!S122,'Mob-Demob'!I:I)+SUMIF(Prelims!B:B,'Budget-Labour Equipment'!S122,Prelims!I:I)))</f>
        <v>#N/A</v>
      </c>
      <c r="V122" s="178" t="e">
        <f t="shared" si="23"/>
        <v>#N/A</v>
      </c>
    </row>
    <row r="123" spans="1:22" x14ac:dyDescent="0.3">
      <c r="A123" s="57" t="e">
        <f>IF('Database Lab+Equip'!#REF!="","Equip. Resource",'Database Lab+Equip'!#REF!)</f>
        <v>#REF!</v>
      </c>
      <c r="B123" s="181" t="e">
        <f>IF(A123="Equip. Resource",0,VLOOKUP(A123,'Database Lab+Equip'!G:I,3,FALSE))</f>
        <v>#REF!</v>
      </c>
      <c r="C123" s="181">
        <f>IF(SUMIF('Installation 1'!B:B,'Budget-Labour Equipment'!A123,'Installation 1'!I:I)+SUMIF('Subcontract 2'!B:B,'Budget-Labour Equipment'!A123,'Subcontract 2'!I:I)+SUMIF('Optional-3'!B:B,'Budget-Labour Equipment'!A123,'Optional-3'!I:I)+SUMIF('Mob-Demob'!B:B,'Budget-Labour Equipment'!A123,'Mob-Demob'!I:I)+SUMIF(Prelims!B:B,'Budget-Labour Equipment'!A123,Prelims!I:I)=0,0,(SUMIF('Installation 1'!B:B,'Budget-Labour Equipment'!A123,'Installation 1'!I:I)+SUMIF('Subcontract 2'!B:B,'Budget-Labour Equipment'!A123,'Subcontract 2'!I:I)+SUMIF('Optional-3'!B:B,'Budget-Labour Equipment'!A123,'Optional-3'!I:I)+SUMIF('Mob-Demob'!B:B,'Budget-Labour Equipment'!A123,'Mob-Demob'!I:I)+SUMIF(Prelims!B:B,'Budget-Labour Equipment'!A123,Prelims!I:I)))</f>
        <v>0</v>
      </c>
      <c r="D123" s="182" t="e">
        <f t="shared" si="16"/>
        <v>#REF!</v>
      </c>
      <c r="E123" s="183" t="e">
        <f t="shared" si="17"/>
        <v>#REF!</v>
      </c>
      <c r="F123" s="183" t="e">
        <f t="shared" si="18"/>
        <v>#REF!</v>
      </c>
      <c r="H123" s="183" t="e">
        <f t="shared" si="19"/>
        <v>#N/A</v>
      </c>
      <c r="J123" s="183">
        <v>93</v>
      </c>
      <c r="K123" s="184" t="e">
        <f t="shared" si="20"/>
        <v>#N/A</v>
      </c>
      <c r="L123" s="185" t="e">
        <f>IF(K123="","",VLOOKUP(K123,'Database Lab+Equip'!$G:$I,3,FALSE))</f>
        <v>#N/A</v>
      </c>
      <c r="M123" s="185" t="e">
        <f>IF(K123="","",SUMIF('Installation 1'!B:B,'Budget-Labour Equipment'!K123,'Installation 1'!I:I)+SUMIF('Subcontract 2'!B:B,'Budget-Labour Equipment'!K123,'Subcontract 2'!I:I)+SUMIF('Optional-3'!B:B,'Budget-Labour Equipment'!K123,'Optional-3'!I:I)+SUMIF('Mob-Demob'!B:B,'Budget-Labour Equipment'!K123,'Mob-Demob'!I:I))</f>
        <v>#N/A</v>
      </c>
      <c r="N123" s="186" t="e">
        <f>IF(K123="","",RANK(L123,$L$31:$L$135)+COUNTIF($L$31:L123,L123)-1)</f>
        <v>#N/A</v>
      </c>
      <c r="P123" s="183" t="e">
        <f t="shared" si="21"/>
        <v>#N/A</v>
      </c>
      <c r="R123" s="32">
        <v>93</v>
      </c>
      <c r="S123" s="31" t="e">
        <f t="shared" si="22"/>
        <v>#N/A</v>
      </c>
      <c r="T123" s="177" t="e">
        <f>IF(S123="","",VLOOKUP(S123,'Database Lab+Equip'!$G:$I,3,FALSE))</f>
        <v>#N/A</v>
      </c>
      <c r="U123" s="177" t="e">
        <f>IF(S123="","",(SUMIF('Installation 1'!B:B,'Budget-Labour Equipment'!S123,'Installation 1'!I:I)+SUMIF('Subcontract 2'!B:B,'Budget-Labour Equipment'!S123,'Subcontract 2'!I:I)+SUMIF('Optional-3'!B:B,'Budget-Labour Equipment'!S123,'Optional-3'!I:I)+SUMIF('Mob-Demob'!B:B,'Budget-Labour Equipment'!S123,'Mob-Demob'!I:I)+SUMIF(Prelims!B:B,'Budget-Labour Equipment'!S123,Prelims!I:I)))</f>
        <v>#N/A</v>
      </c>
      <c r="V123" s="178" t="e">
        <f t="shared" si="23"/>
        <v>#N/A</v>
      </c>
    </row>
    <row r="124" spans="1:22" x14ac:dyDescent="0.3">
      <c r="A124" s="57" t="e">
        <f>IF('Database Lab+Equip'!#REF!="","Equip. Resource",'Database Lab+Equip'!#REF!)</f>
        <v>#REF!</v>
      </c>
      <c r="B124" s="181" t="e">
        <f>IF(A124="Equip. Resource",0,VLOOKUP(A124,'Database Lab+Equip'!G:I,3,FALSE))</f>
        <v>#REF!</v>
      </c>
      <c r="C124" s="181">
        <f>IF(SUMIF('Installation 1'!B:B,'Budget-Labour Equipment'!A124,'Installation 1'!I:I)+SUMIF('Subcontract 2'!B:B,'Budget-Labour Equipment'!A124,'Subcontract 2'!I:I)+SUMIF('Optional-3'!B:B,'Budget-Labour Equipment'!A124,'Optional-3'!I:I)+SUMIF('Mob-Demob'!B:B,'Budget-Labour Equipment'!A124,'Mob-Demob'!I:I)+SUMIF(Prelims!B:B,'Budget-Labour Equipment'!A124,Prelims!I:I)=0,0,(SUMIF('Installation 1'!B:B,'Budget-Labour Equipment'!A124,'Installation 1'!I:I)+SUMIF('Subcontract 2'!B:B,'Budget-Labour Equipment'!A124,'Subcontract 2'!I:I)+SUMIF('Optional-3'!B:B,'Budget-Labour Equipment'!A124,'Optional-3'!I:I)+SUMIF('Mob-Demob'!B:B,'Budget-Labour Equipment'!A124,'Mob-Demob'!I:I)+SUMIF(Prelims!B:B,'Budget-Labour Equipment'!A124,Prelims!I:I)))</f>
        <v>0</v>
      </c>
      <c r="D124" s="182" t="e">
        <f t="shared" si="16"/>
        <v>#REF!</v>
      </c>
      <c r="E124" s="183" t="e">
        <f t="shared" si="17"/>
        <v>#REF!</v>
      </c>
      <c r="F124" s="183" t="e">
        <f t="shared" si="18"/>
        <v>#REF!</v>
      </c>
      <c r="H124" s="183" t="e">
        <f t="shared" si="19"/>
        <v>#N/A</v>
      </c>
      <c r="J124" s="183">
        <v>94</v>
      </c>
      <c r="K124" s="184" t="e">
        <f t="shared" si="20"/>
        <v>#N/A</v>
      </c>
      <c r="L124" s="185" t="e">
        <f>IF(K124="","",VLOOKUP(K124,'Database Lab+Equip'!$G:$I,3,FALSE))</f>
        <v>#N/A</v>
      </c>
      <c r="M124" s="185" t="e">
        <f>IF(K124="","",SUMIF('Installation 1'!B:B,'Budget-Labour Equipment'!K124,'Installation 1'!I:I)+SUMIF('Subcontract 2'!B:B,'Budget-Labour Equipment'!K124,'Subcontract 2'!I:I)+SUMIF('Optional-3'!B:B,'Budget-Labour Equipment'!K124,'Optional-3'!I:I)+SUMIF('Mob-Demob'!B:B,'Budget-Labour Equipment'!K124,'Mob-Demob'!I:I))</f>
        <v>#N/A</v>
      </c>
      <c r="N124" s="186" t="e">
        <f>IF(K124="","",RANK(L124,$L$31:$L$135)+COUNTIF($L$31:L124,L124)-1)</f>
        <v>#N/A</v>
      </c>
      <c r="P124" s="183" t="e">
        <f t="shared" si="21"/>
        <v>#N/A</v>
      </c>
      <c r="R124" s="32">
        <v>94</v>
      </c>
      <c r="S124" s="31" t="e">
        <f t="shared" si="22"/>
        <v>#N/A</v>
      </c>
      <c r="T124" s="177" t="e">
        <f>IF(S124="","",VLOOKUP(S124,'Database Lab+Equip'!$G:$I,3,FALSE))</f>
        <v>#N/A</v>
      </c>
      <c r="U124" s="177" t="e">
        <f>IF(S124="","",(SUMIF('Installation 1'!B:B,'Budget-Labour Equipment'!S124,'Installation 1'!I:I)+SUMIF('Subcontract 2'!B:B,'Budget-Labour Equipment'!S124,'Subcontract 2'!I:I)+SUMIF('Optional-3'!B:B,'Budget-Labour Equipment'!S124,'Optional-3'!I:I)+SUMIF('Mob-Demob'!B:B,'Budget-Labour Equipment'!S124,'Mob-Demob'!I:I)+SUMIF(Prelims!B:B,'Budget-Labour Equipment'!S124,Prelims!I:I)))</f>
        <v>#N/A</v>
      </c>
      <c r="V124" s="178" t="e">
        <f t="shared" si="23"/>
        <v>#N/A</v>
      </c>
    </row>
    <row r="125" spans="1:22" x14ac:dyDescent="0.3">
      <c r="A125" s="57" t="e">
        <f>IF('Database Lab+Equip'!#REF!="","Equip. Resource",'Database Lab+Equip'!#REF!)</f>
        <v>#REF!</v>
      </c>
      <c r="B125" s="181" t="e">
        <f>IF(A125="Equip. Resource",0,VLOOKUP(A125,'Database Lab+Equip'!G:I,3,FALSE))</f>
        <v>#REF!</v>
      </c>
      <c r="C125" s="181">
        <f>IF(SUMIF('Installation 1'!B:B,'Budget-Labour Equipment'!A125,'Installation 1'!I:I)+SUMIF('Subcontract 2'!B:B,'Budget-Labour Equipment'!A125,'Subcontract 2'!I:I)+SUMIF('Optional-3'!B:B,'Budget-Labour Equipment'!A125,'Optional-3'!I:I)+SUMIF('Mob-Demob'!B:B,'Budget-Labour Equipment'!A125,'Mob-Demob'!I:I)+SUMIF(Prelims!B:B,'Budget-Labour Equipment'!A125,Prelims!I:I)=0,0,(SUMIF('Installation 1'!B:B,'Budget-Labour Equipment'!A125,'Installation 1'!I:I)+SUMIF('Subcontract 2'!B:B,'Budget-Labour Equipment'!A125,'Subcontract 2'!I:I)+SUMIF('Optional-3'!B:B,'Budget-Labour Equipment'!A125,'Optional-3'!I:I)+SUMIF('Mob-Demob'!B:B,'Budget-Labour Equipment'!A125,'Mob-Demob'!I:I)+SUMIF(Prelims!B:B,'Budget-Labour Equipment'!A125,Prelims!I:I)))</f>
        <v>0</v>
      </c>
      <c r="D125" s="182" t="e">
        <f t="shared" si="16"/>
        <v>#REF!</v>
      </c>
      <c r="E125" s="183" t="e">
        <f t="shared" si="17"/>
        <v>#REF!</v>
      </c>
      <c r="F125" s="183" t="e">
        <f t="shared" si="18"/>
        <v>#REF!</v>
      </c>
      <c r="H125" s="183" t="e">
        <f t="shared" si="19"/>
        <v>#N/A</v>
      </c>
      <c r="J125" s="183">
        <v>95</v>
      </c>
      <c r="K125" s="184" t="e">
        <f t="shared" si="20"/>
        <v>#N/A</v>
      </c>
      <c r="L125" s="185" t="e">
        <f>IF(K125="","",VLOOKUP(K125,'Database Lab+Equip'!$G:$I,3,FALSE))</f>
        <v>#N/A</v>
      </c>
      <c r="M125" s="185" t="e">
        <f>IF(K125="","",SUMIF('Installation 1'!B:B,'Budget-Labour Equipment'!K125,'Installation 1'!I:I)+SUMIF('Subcontract 2'!B:B,'Budget-Labour Equipment'!K125,'Subcontract 2'!I:I)+SUMIF('Optional-3'!B:B,'Budget-Labour Equipment'!K125,'Optional-3'!I:I)+SUMIF('Mob-Demob'!B:B,'Budget-Labour Equipment'!K125,'Mob-Demob'!I:I))</f>
        <v>#N/A</v>
      </c>
      <c r="N125" s="186" t="e">
        <f>IF(K125="","",RANK(L125,$L$31:$L$135)+COUNTIF($L$31:L125,L125)-1)</f>
        <v>#N/A</v>
      </c>
      <c r="P125" s="183" t="e">
        <f t="shared" si="21"/>
        <v>#N/A</v>
      </c>
      <c r="R125" s="32">
        <v>95</v>
      </c>
      <c r="S125" s="31" t="e">
        <f t="shared" si="22"/>
        <v>#N/A</v>
      </c>
      <c r="T125" s="177" t="e">
        <f>IF(S125="","",VLOOKUP(S125,'Database Lab+Equip'!$G:$I,3,FALSE))</f>
        <v>#N/A</v>
      </c>
      <c r="U125" s="177" t="e">
        <f>IF(S125="","",(SUMIF('Installation 1'!B:B,'Budget-Labour Equipment'!S125,'Installation 1'!I:I)+SUMIF('Subcontract 2'!B:B,'Budget-Labour Equipment'!S125,'Subcontract 2'!I:I)+SUMIF('Optional-3'!B:B,'Budget-Labour Equipment'!S125,'Optional-3'!I:I)+SUMIF('Mob-Demob'!B:B,'Budget-Labour Equipment'!S125,'Mob-Demob'!I:I)+SUMIF(Prelims!B:B,'Budget-Labour Equipment'!S125,Prelims!I:I)))</f>
        <v>#N/A</v>
      </c>
      <c r="V125" s="178" t="e">
        <f t="shared" si="23"/>
        <v>#N/A</v>
      </c>
    </row>
    <row r="126" spans="1:22" x14ac:dyDescent="0.3">
      <c r="A126" s="57" t="e">
        <f>IF('Database Lab+Equip'!#REF!="","Equip. Resource",'Database Lab+Equip'!#REF!)</f>
        <v>#REF!</v>
      </c>
      <c r="B126" s="181" t="e">
        <f>IF(A126="Equip. Resource",0,VLOOKUP(A126,'Database Lab+Equip'!G:I,3,FALSE))</f>
        <v>#REF!</v>
      </c>
      <c r="C126" s="181">
        <f>IF(SUMIF('Installation 1'!B:B,'Budget-Labour Equipment'!A126,'Installation 1'!I:I)+SUMIF('Subcontract 2'!B:B,'Budget-Labour Equipment'!A126,'Subcontract 2'!I:I)+SUMIF('Optional-3'!B:B,'Budget-Labour Equipment'!A126,'Optional-3'!I:I)+SUMIF('Mob-Demob'!B:B,'Budget-Labour Equipment'!A126,'Mob-Demob'!I:I)+SUMIF(Prelims!B:B,'Budget-Labour Equipment'!A126,Prelims!I:I)=0,0,(SUMIF('Installation 1'!B:B,'Budget-Labour Equipment'!A126,'Installation 1'!I:I)+SUMIF('Subcontract 2'!B:B,'Budget-Labour Equipment'!A126,'Subcontract 2'!I:I)+SUMIF('Optional-3'!B:B,'Budget-Labour Equipment'!A126,'Optional-3'!I:I)+SUMIF('Mob-Demob'!B:B,'Budget-Labour Equipment'!A126,'Mob-Demob'!I:I)+SUMIF(Prelims!B:B,'Budget-Labour Equipment'!A126,Prelims!I:I)))</f>
        <v>0</v>
      </c>
      <c r="D126" s="182" t="e">
        <f t="shared" si="16"/>
        <v>#REF!</v>
      </c>
      <c r="E126" s="183" t="e">
        <f t="shared" si="17"/>
        <v>#REF!</v>
      </c>
      <c r="F126" s="183" t="e">
        <f t="shared" si="18"/>
        <v>#REF!</v>
      </c>
      <c r="H126" s="183" t="e">
        <f t="shared" si="19"/>
        <v>#N/A</v>
      </c>
      <c r="J126" s="183">
        <v>96</v>
      </c>
      <c r="K126" s="184" t="e">
        <f t="shared" si="20"/>
        <v>#N/A</v>
      </c>
      <c r="L126" s="185" t="e">
        <f>IF(K126="","",VLOOKUP(K126,'Database Lab+Equip'!$G:$I,3,FALSE))</f>
        <v>#N/A</v>
      </c>
      <c r="M126" s="185" t="e">
        <f>IF(K126="","",SUMIF('Installation 1'!B:B,'Budget-Labour Equipment'!K126,'Installation 1'!I:I)+SUMIF('Subcontract 2'!B:B,'Budget-Labour Equipment'!K126,'Subcontract 2'!I:I)+SUMIF('Optional-3'!B:B,'Budget-Labour Equipment'!K126,'Optional-3'!I:I)+SUMIF('Mob-Demob'!B:B,'Budget-Labour Equipment'!K126,'Mob-Demob'!I:I))</f>
        <v>#N/A</v>
      </c>
      <c r="N126" s="186" t="e">
        <f>IF(K126="","",RANK(L126,$L$31:$L$135)+COUNTIF($L$31:L126,L126)-1)</f>
        <v>#N/A</v>
      </c>
      <c r="P126" s="183" t="e">
        <f t="shared" si="21"/>
        <v>#N/A</v>
      </c>
      <c r="R126" s="32">
        <v>96</v>
      </c>
      <c r="S126" s="31" t="e">
        <f t="shared" si="22"/>
        <v>#N/A</v>
      </c>
      <c r="T126" s="177" t="e">
        <f>IF(S126="","",VLOOKUP(S126,'Database Lab+Equip'!$G:$I,3,FALSE))</f>
        <v>#N/A</v>
      </c>
      <c r="U126" s="177" t="e">
        <f>IF(S126="","",(SUMIF('Installation 1'!B:B,'Budget-Labour Equipment'!S126,'Installation 1'!I:I)+SUMIF('Subcontract 2'!B:B,'Budget-Labour Equipment'!S126,'Subcontract 2'!I:I)+SUMIF('Optional-3'!B:B,'Budget-Labour Equipment'!S126,'Optional-3'!I:I)+SUMIF('Mob-Demob'!B:B,'Budget-Labour Equipment'!S126,'Mob-Demob'!I:I)+SUMIF(Prelims!B:B,'Budget-Labour Equipment'!S126,Prelims!I:I)))</f>
        <v>#N/A</v>
      </c>
      <c r="V126" s="178" t="e">
        <f t="shared" si="23"/>
        <v>#N/A</v>
      </c>
    </row>
    <row r="127" spans="1:22" x14ac:dyDescent="0.3">
      <c r="A127" s="57" t="e">
        <f>IF('Database Lab+Equip'!#REF!="","Equip. Resource",'Database Lab+Equip'!#REF!)</f>
        <v>#REF!</v>
      </c>
      <c r="B127" s="181" t="e">
        <f>IF(A127="Equip. Resource",0,VLOOKUP(A127,'Database Lab+Equip'!G:I,3,FALSE))</f>
        <v>#REF!</v>
      </c>
      <c r="C127" s="181">
        <f>IF(SUMIF('Installation 1'!B:B,'Budget-Labour Equipment'!A127,'Installation 1'!I:I)+SUMIF('Subcontract 2'!B:B,'Budget-Labour Equipment'!A127,'Subcontract 2'!I:I)+SUMIF('Optional-3'!B:B,'Budget-Labour Equipment'!A127,'Optional-3'!I:I)+SUMIF('Mob-Demob'!B:B,'Budget-Labour Equipment'!A127,'Mob-Demob'!I:I)+SUMIF(Prelims!B:B,'Budget-Labour Equipment'!A127,Prelims!I:I)=0,0,(SUMIF('Installation 1'!B:B,'Budget-Labour Equipment'!A127,'Installation 1'!I:I)+SUMIF('Subcontract 2'!B:B,'Budget-Labour Equipment'!A127,'Subcontract 2'!I:I)+SUMIF('Optional-3'!B:B,'Budget-Labour Equipment'!A127,'Optional-3'!I:I)+SUMIF('Mob-Demob'!B:B,'Budget-Labour Equipment'!A127,'Mob-Demob'!I:I)+SUMIF(Prelims!B:B,'Budget-Labour Equipment'!A127,Prelims!I:I)))</f>
        <v>0</v>
      </c>
      <c r="D127" s="182" t="e">
        <f t="shared" si="16"/>
        <v>#REF!</v>
      </c>
      <c r="E127" s="183" t="e">
        <f t="shared" si="17"/>
        <v>#REF!</v>
      </c>
      <c r="F127" s="183" t="e">
        <f t="shared" si="18"/>
        <v>#REF!</v>
      </c>
      <c r="H127" s="183" t="e">
        <f t="shared" si="19"/>
        <v>#N/A</v>
      </c>
      <c r="J127" s="183">
        <v>97</v>
      </c>
      <c r="K127" s="184" t="e">
        <f t="shared" si="20"/>
        <v>#N/A</v>
      </c>
      <c r="L127" s="185" t="e">
        <f>IF(K127="","",VLOOKUP(K127,'Database Lab+Equip'!$G:$I,3,FALSE))</f>
        <v>#N/A</v>
      </c>
      <c r="M127" s="185" t="e">
        <f>IF(K127="","",SUMIF('Installation 1'!B:B,'Budget-Labour Equipment'!K127,'Installation 1'!I:I)+SUMIF('Subcontract 2'!B:B,'Budget-Labour Equipment'!K127,'Subcontract 2'!I:I)+SUMIF('Optional-3'!B:B,'Budget-Labour Equipment'!K127,'Optional-3'!I:I)+SUMIF('Mob-Demob'!B:B,'Budget-Labour Equipment'!K127,'Mob-Demob'!I:I))</f>
        <v>#N/A</v>
      </c>
      <c r="N127" s="186" t="e">
        <f>IF(K127="","",RANK(L127,$L$31:$L$135)+COUNTIF($L$31:L127,L127)-1)</f>
        <v>#N/A</v>
      </c>
      <c r="P127" s="183" t="e">
        <f t="shared" si="21"/>
        <v>#N/A</v>
      </c>
      <c r="R127" s="32">
        <v>97</v>
      </c>
      <c r="S127" s="31" t="e">
        <f t="shared" si="22"/>
        <v>#N/A</v>
      </c>
      <c r="T127" s="177" t="e">
        <f>IF(S127="","",VLOOKUP(S127,'Database Lab+Equip'!$G:$I,3,FALSE))</f>
        <v>#N/A</v>
      </c>
      <c r="U127" s="177" t="e">
        <f>IF(S127="","",(SUMIF('Installation 1'!B:B,'Budget-Labour Equipment'!S127,'Installation 1'!I:I)+SUMIF('Subcontract 2'!B:B,'Budget-Labour Equipment'!S127,'Subcontract 2'!I:I)+SUMIF('Optional-3'!B:B,'Budget-Labour Equipment'!S127,'Optional-3'!I:I)+SUMIF('Mob-Demob'!B:B,'Budget-Labour Equipment'!S127,'Mob-Demob'!I:I)+SUMIF(Prelims!B:B,'Budget-Labour Equipment'!S127,Prelims!I:I)))</f>
        <v>#N/A</v>
      </c>
      <c r="V127" s="178" t="e">
        <f t="shared" si="23"/>
        <v>#N/A</v>
      </c>
    </row>
    <row r="128" spans="1:22" x14ac:dyDescent="0.3">
      <c r="A128" s="57" t="str">
        <f>IF('Database Lab+Equip'!G56="","Equip. Resource",'Database Lab+Equip'!G56)</f>
        <v>Hand tools</v>
      </c>
      <c r="B128" s="181">
        <f>IF(A128="Equip. Resource",0,VLOOKUP(A128,'Database Lab+Equip'!G:I,3,FALSE))</f>
        <v>153</v>
      </c>
      <c r="C128" s="181">
        <f>IF(SUMIF('Installation 1'!B:B,'Budget-Labour Equipment'!A128,'Installation 1'!I:I)+SUMIF('Subcontract 2'!B:B,'Budget-Labour Equipment'!A128,'Subcontract 2'!I:I)+SUMIF('Optional-3'!B:B,'Budget-Labour Equipment'!A128,'Optional-3'!I:I)+SUMIF('Mob-Demob'!B:B,'Budget-Labour Equipment'!A128,'Mob-Demob'!I:I)+SUMIF(Prelims!B:B,'Budget-Labour Equipment'!A128,Prelims!I:I)=0,0,(SUMIF('Installation 1'!B:B,'Budget-Labour Equipment'!A128,'Installation 1'!I:I)+SUMIF('Subcontract 2'!B:B,'Budget-Labour Equipment'!A128,'Subcontract 2'!I:I)+SUMIF('Optional-3'!B:B,'Budget-Labour Equipment'!A128,'Optional-3'!I:I)+SUMIF('Mob-Demob'!B:B,'Budget-Labour Equipment'!A128,'Mob-Demob'!I:I)+SUMIF(Prelims!B:B,'Budget-Labour Equipment'!A128,Prelims!I:I)))</f>
        <v>10924.199999999999</v>
      </c>
      <c r="D128" s="182">
        <f t="shared" si="16"/>
        <v>71.399999999999991</v>
      </c>
      <c r="E128" s="183">
        <f t="shared" si="17"/>
        <v>71.400127999999995</v>
      </c>
      <c r="F128" s="183" t="e">
        <f t="shared" si="18"/>
        <v>#REF!</v>
      </c>
      <c r="H128" s="183" t="e">
        <f t="shared" si="19"/>
        <v>#N/A</v>
      </c>
      <c r="J128" s="183">
        <v>98</v>
      </c>
      <c r="K128" s="184" t="e">
        <f t="shared" si="20"/>
        <v>#N/A</v>
      </c>
      <c r="L128" s="185" t="e">
        <f>IF(K128="","",VLOOKUP(K128,'Database Lab+Equip'!$G:$I,3,FALSE))</f>
        <v>#N/A</v>
      </c>
      <c r="M128" s="185" t="e">
        <f>IF(K128="","",SUMIF('Installation 1'!B:B,'Budget-Labour Equipment'!K128,'Installation 1'!I:I)+SUMIF('Subcontract 2'!B:B,'Budget-Labour Equipment'!K128,'Subcontract 2'!I:I)+SUMIF('Optional-3'!B:B,'Budget-Labour Equipment'!K128,'Optional-3'!I:I)+SUMIF('Mob-Demob'!B:B,'Budget-Labour Equipment'!K128,'Mob-Demob'!I:I))</f>
        <v>#N/A</v>
      </c>
      <c r="N128" s="186" t="e">
        <f>IF(K128="","",RANK(L128,$L$31:$L$135)+COUNTIF($L$31:L128,L128)-1)</f>
        <v>#N/A</v>
      </c>
      <c r="P128" s="183" t="e">
        <f t="shared" si="21"/>
        <v>#N/A</v>
      </c>
      <c r="R128" s="32">
        <v>98</v>
      </c>
      <c r="S128" s="31" t="e">
        <f t="shared" si="22"/>
        <v>#N/A</v>
      </c>
      <c r="T128" s="177" t="e">
        <f>IF(S128="","",VLOOKUP(S128,'Database Lab+Equip'!$G:$I,3,FALSE))</f>
        <v>#N/A</v>
      </c>
      <c r="U128" s="177" t="e">
        <f>IF(S128="","",(SUMIF('Installation 1'!B:B,'Budget-Labour Equipment'!S128,'Installation 1'!I:I)+SUMIF('Subcontract 2'!B:B,'Budget-Labour Equipment'!S128,'Subcontract 2'!I:I)+SUMIF('Optional-3'!B:B,'Budget-Labour Equipment'!S128,'Optional-3'!I:I)+SUMIF('Mob-Demob'!B:B,'Budget-Labour Equipment'!S128,'Mob-Demob'!I:I)+SUMIF(Prelims!B:B,'Budget-Labour Equipment'!S128,Prelims!I:I)))</f>
        <v>#N/A</v>
      </c>
      <c r="V128" s="178" t="e">
        <f t="shared" si="23"/>
        <v>#N/A</v>
      </c>
    </row>
    <row r="129" spans="1:22" x14ac:dyDescent="0.3">
      <c r="A129" s="57" t="str">
        <f>IF('Database Lab+Equip'!G57="","Equip. Resource",'Database Lab+Equip'!G57)</f>
        <v>Crane truck 4t</v>
      </c>
      <c r="B129" s="181">
        <f>IF(A129="Equip. Resource",0,VLOOKUP(A129,'Database Lab+Equip'!G:I,3,FALSE))</f>
        <v>900</v>
      </c>
      <c r="C129" s="181">
        <f>IF(SUMIF('Installation 1'!B:B,'Budget-Labour Equipment'!A129,'Installation 1'!I:I)+SUMIF('Subcontract 2'!B:B,'Budget-Labour Equipment'!A129,'Subcontract 2'!I:I)+SUMIF('Optional-3'!B:B,'Budget-Labour Equipment'!A129,'Optional-3'!I:I)+SUMIF('Mob-Demob'!B:B,'Budget-Labour Equipment'!A129,'Mob-Demob'!I:I)+SUMIF(Prelims!B:B,'Budget-Labour Equipment'!A129,Prelims!I:I)=0,0,(SUMIF('Installation 1'!B:B,'Budget-Labour Equipment'!A129,'Installation 1'!I:I)+SUMIF('Subcontract 2'!B:B,'Budget-Labour Equipment'!A129,'Subcontract 2'!I:I)+SUMIF('Optional-3'!B:B,'Budget-Labour Equipment'!A129,'Optional-3'!I:I)+SUMIF('Mob-Demob'!B:B,'Budget-Labour Equipment'!A129,'Mob-Demob'!I:I)+SUMIF(Prelims!B:B,'Budget-Labour Equipment'!A129,Prelims!I:I)))</f>
        <v>4725</v>
      </c>
      <c r="D129" s="182">
        <f t="shared" si="16"/>
        <v>5.25</v>
      </c>
      <c r="E129" s="183">
        <f t="shared" si="17"/>
        <v>5.2501290000000003</v>
      </c>
      <c r="F129" s="183" t="e">
        <f t="shared" si="18"/>
        <v>#REF!</v>
      </c>
      <c r="H129" s="183" t="e">
        <f t="shared" si="19"/>
        <v>#N/A</v>
      </c>
      <c r="J129" s="183">
        <v>99</v>
      </c>
      <c r="K129" s="184" t="e">
        <f t="shared" si="20"/>
        <v>#N/A</v>
      </c>
      <c r="L129" s="185" t="e">
        <f>IF(K129="","",VLOOKUP(K129,'Database Lab+Equip'!$G:$I,3,FALSE))</f>
        <v>#N/A</v>
      </c>
      <c r="M129" s="185" t="e">
        <f>IF(K129="","",SUMIF('Installation 1'!B:B,'Budget-Labour Equipment'!K129,'Installation 1'!I:I)+SUMIF('Subcontract 2'!B:B,'Budget-Labour Equipment'!K129,'Subcontract 2'!I:I)+SUMIF('Optional-3'!B:B,'Budget-Labour Equipment'!K129,'Optional-3'!I:I)+SUMIF('Mob-Demob'!B:B,'Budget-Labour Equipment'!K129,'Mob-Demob'!I:I))</f>
        <v>#N/A</v>
      </c>
      <c r="N129" s="186" t="e">
        <f>IF(K129="","",RANK(L129,$L$31:$L$135)+COUNTIF($L$31:L129,L129)-1)</f>
        <v>#N/A</v>
      </c>
      <c r="P129" s="183" t="e">
        <f t="shared" si="21"/>
        <v>#N/A</v>
      </c>
      <c r="R129" s="32">
        <v>99</v>
      </c>
      <c r="S129" s="31" t="e">
        <f t="shared" si="22"/>
        <v>#N/A</v>
      </c>
      <c r="T129" s="177" t="e">
        <f>IF(S129="","",VLOOKUP(S129,'Database Lab+Equip'!$G:$I,3,FALSE))</f>
        <v>#N/A</v>
      </c>
      <c r="U129" s="177" t="e">
        <f>IF(S129="","",(SUMIF('Installation 1'!B:B,'Budget-Labour Equipment'!S129,'Installation 1'!I:I)+SUMIF('Subcontract 2'!B:B,'Budget-Labour Equipment'!S129,'Subcontract 2'!I:I)+SUMIF('Optional-3'!B:B,'Budget-Labour Equipment'!S129,'Optional-3'!I:I)+SUMIF('Mob-Demob'!B:B,'Budget-Labour Equipment'!S129,'Mob-Demob'!I:I)+SUMIF(Prelims!B:B,'Budget-Labour Equipment'!S129,Prelims!I:I)))</f>
        <v>#N/A</v>
      </c>
      <c r="V129" s="178" t="e">
        <f t="shared" si="23"/>
        <v>#N/A</v>
      </c>
    </row>
    <row r="130" spans="1:22" x14ac:dyDescent="0.3">
      <c r="A130" s="57" t="str">
        <f>IF('Database Lab+Equip'!G73="","Equip. Resource",'Database Lab+Equip'!G73)</f>
        <v>Equip. Resource</v>
      </c>
      <c r="B130" s="181">
        <f>IF(A130="Equip. Resource",0,VLOOKUP(A130,'Database Lab+Equip'!G:I,3,FALSE))</f>
        <v>0</v>
      </c>
      <c r="C130" s="181">
        <f>IF(SUMIF('Installation 1'!B:B,'Budget-Labour Equipment'!A130,'Installation 1'!I:I)+SUMIF('Subcontract 2'!B:B,'Budget-Labour Equipment'!A130,'Subcontract 2'!I:I)+SUMIF('Optional-3'!B:B,'Budget-Labour Equipment'!A130,'Optional-3'!I:I)+SUMIF('Mob-Demob'!B:B,'Budget-Labour Equipment'!A130,'Mob-Demob'!I:I)+SUMIF(Prelims!B:B,'Budget-Labour Equipment'!A130,Prelims!I:I)=0,0,(SUMIF('Installation 1'!B:B,'Budget-Labour Equipment'!A130,'Installation 1'!I:I)+SUMIF('Subcontract 2'!B:B,'Budget-Labour Equipment'!A130,'Subcontract 2'!I:I)+SUMIF('Optional-3'!B:B,'Budget-Labour Equipment'!A130,'Optional-3'!I:I)+SUMIF('Mob-Demob'!B:B,'Budget-Labour Equipment'!A130,'Mob-Demob'!I:I)+SUMIF(Prelims!B:B,'Budget-Labour Equipment'!A130,Prelims!I:I)))</f>
        <v>0</v>
      </c>
      <c r="D130" s="182">
        <f t="shared" si="16"/>
        <v>0</v>
      </c>
      <c r="E130" s="183">
        <f t="shared" si="17"/>
        <v>1.2999999999999999E-4</v>
      </c>
      <c r="F130" s="183" t="e">
        <f t="shared" si="18"/>
        <v>#REF!</v>
      </c>
      <c r="H130" s="183" t="e">
        <f t="shared" si="19"/>
        <v>#N/A</v>
      </c>
      <c r="J130" s="183">
        <v>100</v>
      </c>
      <c r="K130" s="184" t="e">
        <f t="shared" si="20"/>
        <v>#N/A</v>
      </c>
      <c r="L130" s="185" t="e">
        <f>IF(K130="","",VLOOKUP(K130,'Database Lab+Equip'!$G:$I,3,FALSE))</f>
        <v>#N/A</v>
      </c>
      <c r="M130" s="185" t="e">
        <f>IF(K130="","",SUMIF('Installation 1'!B:B,'Budget-Labour Equipment'!K130,'Installation 1'!I:I)+SUMIF('Subcontract 2'!B:B,'Budget-Labour Equipment'!K130,'Subcontract 2'!I:I)+SUMIF('Optional-3'!B:B,'Budget-Labour Equipment'!K130,'Optional-3'!I:I)+SUMIF('Mob-Demob'!B:B,'Budget-Labour Equipment'!K130,'Mob-Demob'!I:I))</f>
        <v>#N/A</v>
      </c>
      <c r="N130" s="186" t="e">
        <f>IF(K130="","",RANK(L130,$L$31:$L$135)+COUNTIF($L$31:L130,L130)-1)</f>
        <v>#N/A</v>
      </c>
      <c r="P130" s="183" t="e">
        <f t="shared" si="21"/>
        <v>#N/A</v>
      </c>
      <c r="R130" s="32">
        <v>100</v>
      </c>
      <c r="S130" s="31" t="e">
        <f t="shared" si="22"/>
        <v>#N/A</v>
      </c>
      <c r="T130" s="177" t="e">
        <f>IF(S130="","",VLOOKUP(S130,'Database Lab+Equip'!$G:$I,3,FALSE))</f>
        <v>#N/A</v>
      </c>
      <c r="U130" s="177" t="e">
        <f>IF(S130="","",(SUMIF('Installation 1'!B:B,'Budget-Labour Equipment'!S130,'Installation 1'!I:I)+SUMIF('Subcontract 2'!B:B,'Budget-Labour Equipment'!S130,'Subcontract 2'!I:I)+SUMIF('Optional-3'!B:B,'Budget-Labour Equipment'!S130,'Optional-3'!I:I)+SUMIF('Mob-Demob'!B:B,'Budget-Labour Equipment'!S130,'Mob-Demob'!I:I)+SUMIF(Prelims!B:B,'Budget-Labour Equipment'!S130,Prelims!I:I)))</f>
        <v>#N/A</v>
      </c>
      <c r="V130" s="178" t="e">
        <f t="shared" si="23"/>
        <v>#N/A</v>
      </c>
    </row>
    <row r="131" spans="1:22" x14ac:dyDescent="0.3">
      <c r="A131" s="57" t="str">
        <f>IF('Database Lab+Equip'!G74="","Equip. Resource",'Database Lab+Equip'!G74)</f>
        <v>Equip. Resource</v>
      </c>
      <c r="B131" s="181">
        <f>IF(A131="Equip. Resource",0,VLOOKUP(A131,'Database Lab+Equip'!G:I,3,FALSE))</f>
        <v>0</v>
      </c>
      <c r="C131" s="181">
        <f>IF(SUMIF('Installation 1'!B:B,'Budget-Labour Equipment'!A131,'Installation 1'!I:I)+SUMIF('Subcontract 2'!B:B,'Budget-Labour Equipment'!A131,'Subcontract 2'!I:I)+SUMIF('Optional-3'!B:B,'Budget-Labour Equipment'!A131,'Optional-3'!I:I)+SUMIF('Mob-Demob'!B:B,'Budget-Labour Equipment'!A131,'Mob-Demob'!I:I)+SUMIF(Prelims!B:B,'Budget-Labour Equipment'!A131,Prelims!I:I)=0,0,(SUMIF('Installation 1'!B:B,'Budget-Labour Equipment'!A131,'Installation 1'!I:I)+SUMIF('Subcontract 2'!B:B,'Budget-Labour Equipment'!A131,'Subcontract 2'!I:I)+SUMIF('Optional-3'!B:B,'Budget-Labour Equipment'!A131,'Optional-3'!I:I)+SUMIF('Mob-Demob'!B:B,'Budget-Labour Equipment'!A131,'Mob-Demob'!I:I)+SUMIF(Prelims!B:B,'Budget-Labour Equipment'!A131,Prelims!I:I)))</f>
        <v>0</v>
      </c>
      <c r="D131" s="182">
        <f t="shared" si="16"/>
        <v>0</v>
      </c>
      <c r="E131" s="183">
        <f t="shared" si="17"/>
        <v>1.3099999999999999E-4</v>
      </c>
      <c r="F131" s="183" t="e">
        <f t="shared" si="18"/>
        <v>#REF!</v>
      </c>
      <c r="H131" s="183" t="e">
        <f t="shared" si="19"/>
        <v>#N/A</v>
      </c>
      <c r="J131" s="183">
        <v>101</v>
      </c>
      <c r="K131" s="184" t="e">
        <f t="shared" si="20"/>
        <v>#N/A</v>
      </c>
      <c r="L131" s="185" t="e">
        <f>IF(K131="","",VLOOKUP(K131,'Database Lab+Equip'!$G:$I,3,FALSE))</f>
        <v>#N/A</v>
      </c>
      <c r="M131" s="185" t="e">
        <f>IF(K131="","",SUMIF('Installation 1'!B:B,'Budget-Labour Equipment'!K131,'Installation 1'!I:I)+SUMIF('Subcontract 2'!B:B,'Budget-Labour Equipment'!K131,'Subcontract 2'!I:I)+SUMIF('Optional-3'!B:B,'Budget-Labour Equipment'!K131,'Optional-3'!I:I)+SUMIF('Mob-Demob'!B:B,'Budget-Labour Equipment'!K131,'Mob-Demob'!I:I))</f>
        <v>#N/A</v>
      </c>
      <c r="N131" s="186" t="e">
        <f>IF(K131="","",RANK(L131,$L$31:$L$135)+COUNTIF($L$31:L131,L131)-1)</f>
        <v>#N/A</v>
      </c>
      <c r="P131" s="183" t="e">
        <f t="shared" si="21"/>
        <v>#N/A</v>
      </c>
      <c r="R131" s="32">
        <v>101</v>
      </c>
      <c r="S131" s="31" t="e">
        <f t="shared" si="22"/>
        <v>#N/A</v>
      </c>
      <c r="T131" s="177" t="e">
        <f>IF(S131="","",VLOOKUP(S131,'Database Lab+Equip'!$G:$I,3,FALSE))</f>
        <v>#N/A</v>
      </c>
      <c r="U131" s="177" t="e">
        <f>IF(S131="","",(SUMIF('Installation 1'!B:B,'Budget-Labour Equipment'!S131,'Installation 1'!I:I)+SUMIF('Subcontract 2'!B:B,'Budget-Labour Equipment'!S131,'Subcontract 2'!I:I)+SUMIF('Optional-3'!B:B,'Budget-Labour Equipment'!S131,'Optional-3'!I:I)+SUMIF('Mob-Demob'!B:B,'Budget-Labour Equipment'!S131,'Mob-Demob'!I:I)+SUMIF(Prelims!B:B,'Budget-Labour Equipment'!S131,Prelims!I:I)))</f>
        <v>#N/A</v>
      </c>
      <c r="V131" s="178" t="e">
        <f t="shared" si="23"/>
        <v>#N/A</v>
      </c>
    </row>
    <row r="132" spans="1:22" x14ac:dyDescent="0.3">
      <c r="A132" s="57" t="str">
        <f>IF('Database Lab+Equip'!G75="","Equip. Resource",'Database Lab+Equip'!G75)</f>
        <v>Equip. Resource</v>
      </c>
      <c r="B132" s="181">
        <f>IF(A132="Equip. Resource",0,VLOOKUP(A132,'Database Lab+Equip'!G:I,3,FALSE))</f>
        <v>0</v>
      </c>
      <c r="C132" s="181">
        <f>IF(SUMIF('Installation 1'!B:B,'Budget-Labour Equipment'!A132,'Installation 1'!I:I)+SUMIF('Subcontract 2'!B:B,'Budget-Labour Equipment'!A132,'Subcontract 2'!I:I)+SUMIF('Optional-3'!B:B,'Budget-Labour Equipment'!A132,'Optional-3'!I:I)+SUMIF('Mob-Demob'!B:B,'Budget-Labour Equipment'!A132,'Mob-Demob'!I:I)+SUMIF(Prelims!B:B,'Budget-Labour Equipment'!A132,Prelims!I:I)=0,0,(SUMIF('Installation 1'!B:B,'Budget-Labour Equipment'!A132,'Installation 1'!I:I)+SUMIF('Subcontract 2'!B:B,'Budget-Labour Equipment'!A132,'Subcontract 2'!I:I)+SUMIF('Optional-3'!B:B,'Budget-Labour Equipment'!A132,'Optional-3'!I:I)+SUMIF('Mob-Demob'!B:B,'Budget-Labour Equipment'!A132,'Mob-Demob'!I:I)+SUMIF(Prelims!B:B,'Budget-Labour Equipment'!A132,Prelims!I:I)))</f>
        <v>0</v>
      </c>
      <c r="D132" s="182">
        <f t="shared" si="16"/>
        <v>0</v>
      </c>
      <c r="E132" s="183">
        <f t="shared" si="17"/>
        <v>1.3199999999999998E-4</v>
      </c>
      <c r="F132" s="183" t="e">
        <f t="shared" si="18"/>
        <v>#REF!</v>
      </c>
      <c r="H132" s="183" t="e">
        <f t="shared" si="19"/>
        <v>#N/A</v>
      </c>
      <c r="J132" s="183">
        <v>102</v>
      </c>
      <c r="K132" s="184" t="e">
        <f t="shared" si="20"/>
        <v>#N/A</v>
      </c>
      <c r="L132" s="185" t="e">
        <f>IF(K132="","",VLOOKUP(K132,'Database Lab+Equip'!$G:$I,3,FALSE))</f>
        <v>#N/A</v>
      </c>
      <c r="M132" s="185" t="e">
        <f>IF(K132="","",SUMIF('Installation 1'!B:B,'Budget-Labour Equipment'!K132,'Installation 1'!I:I)+SUMIF('Subcontract 2'!B:B,'Budget-Labour Equipment'!K132,'Subcontract 2'!I:I)+SUMIF('Optional-3'!B:B,'Budget-Labour Equipment'!K132,'Optional-3'!I:I)+SUMIF('Mob-Demob'!B:B,'Budget-Labour Equipment'!K132,'Mob-Demob'!I:I))</f>
        <v>#N/A</v>
      </c>
      <c r="N132" s="186" t="e">
        <f>IF(K132="","",RANK(L132,$L$31:$L$135)+COUNTIF($L$31:L132,L132)-1)</f>
        <v>#N/A</v>
      </c>
      <c r="P132" s="183" t="e">
        <f t="shared" si="21"/>
        <v>#N/A</v>
      </c>
      <c r="R132" s="32">
        <v>102</v>
      </c>
      <c r="S132" s="31" t="e">
        <f t="shared" si="22"/>
        <v>#N/A</v>
      </c>
      <c r="T132" s="177" t="e">
        <f>IF(S132="","",VLOOKUP(S132,'Database Lab+Equip'!$G:$I,3,FALSE))</f>
        <v>#N/A</v>
      </c>
      <c r="U132" s="177" t="e">
        <f>IF(S132="","",(SUMIF('Installation 1'!B:B,'Budget-Labour Equipment'!S132,'Installation 1'!I:I)+SUMIF('Subcontract 2'!B:B,'Budget-Labour Equipment'!S132,'Subcontract 2'!I:I)+SUMIF('Optional-3'!B:B,'Budget-Labour Equipment'!S132,'Optional-3'!I:I)+SUMIF('Mob-Demob'!B:B,'Budget-Labour Equipment'!S132,'Mob-Demob'!I:I)+SUMIF(Prelims!B:B,'Budget-Labour Equipment'!S132,Prelims!I:I)))</f>
        <v>#N/A</v>
      </c>
      <c r="V132" s="178" t="e">
        <f t="shared" si="23"/>
        <v>#N/A</v>
      </c>
    </row>
    <row r="133" spans="1:22" x14ac:dyDescent="0.3">
      <c r="A133" s="57" t="str">
        <f>IF('Database Lab+Equip'!G76="","Equip. Resource",'Database Lab+Equip'!G76)</f>
        <v>Equip. Resource</v>
      </c>
      <c r="B133" s="181">
        <f>IF(A133="Equip. Resource",0,VLOOKUP(A133,'Database Lab+Equip'!G:I,3,FALSE))</f>
        <v>0</v>
      </c>
      <c r="C133" s="181">
        <f>IF(SUMIF('Installation 1'!B:B,'Budget-Labour Equipment'!A133,'Installation 1'!I:I)+SUMIF('Subcontract 2'!B:B,'Budget-Labour Equipment'!A133,'Subcontract 2'!I:I)+SUMIF('Optional-3'!B:B,'Budget-Labour Equipment'!A133,'Optional-3'!I:I)+SUMIF('Mob-Demob'!B:B,'Budget-Labour Equipment'!A133,'Mob-Demob'!I:I)+SUMIF(Prelims!B:B,'Budget-Labour Equipment'!A133,Prelims!I:I)=0,0,(SUMIF('Installation 1'!B:B,'Budget-Labour Equipment'!A133,'Installation 1'!I:I)+SUMIF('Subcontract 2'!B:B,'Budget-Labour Equipment'!A133,'Subcontract 2'!I:I)+SUMIF('Optional-3'!B:B,'Budget-Labour Equipment'!A133,'Optional-3'!I:I)+SUMIF('Mob-Demob'!B:B,'Budget-Labour Equipment'!A133,'Mob-Demob'!I:I)+SUMIF(Prelims!B:B,'Budget-Labour Equipment'!A133,Prelims!I:I)))</f>
        <v>0</v>
      </c>
      <c r="D133" s="182">
        <f t="shared" si="16"/>
        <v>0</v>
      </c>
      <c r="E133" s="183">
        <f t="shared" si="17"/>
        <v>1.3300000000000001E-4</v>
      </c>
      <c r="F133" s="183" t="e">
        <f t="shared" si="18"/>
        <v>#REF!</v>
      </c>
      <c r="H133" s="183" t="e">
        <f t="shared" si="19"/>
        <v>#N/A</v>
      </c>
      <c r="J133" s="183">
        <v>103</v>
      </c>
      <c r="K133" s="184" t="e">
        <f t="shared" si="20"/>
        <v>#N/A</v>
      </c>
      <c r="L133" s="185" t="e">
        <f>IF(K133="","",VLOOKUP(K133,'Database Lab+Equip'!$G:$I,3,FALSE))</f>
        <v>#N/A</v>
      </c>
      <c r="M133" s="185" t="e">
        <f>IF(K133="","",SUMIF('Installation 1'!B:B,'Budget-Labour Equipment'!K133,'Installation 1'!I:I)+SUMIF('Subcontract 2'!B:B,'Budget-Labour Equipment'!K133,'Subcontract 2'!I:I)+SUMIF('Optional-3'!B:B,'Budget-Labour Equipment'!K133,'Optional-3'!I:I)+SUMIF('Mob-Demob'!B:B,'Budget-Labour Equipment'!K133,'Mob-Demob'!I:I))</f>
        <v>#N/A</v>
      </c>
      <c r="N133" s="186" t="e">
        <f>IF(K133="","",RANK(L133,$L$31:$L$135)+COUNTIF($L$31:L133,L133)-1)</f>
        <v>#N/A</v>
      </c>
      <c r="P133" s="183" t="e">
        <f t="shared" si="21"/>
        <v>#N/A</v>
      </c>
      <c r="R133" s="32">
        <v>103</v>
      </c>
      <c r="S133" s="31" t="e">
        <f t="shared" si="22"/>
        <v>#N/A</v>
      </c>
      <c r="T133" s="177" t="e">
        <f>IF(S133="","",VLOOKUP(S133,'Database Lab+Equip'!$G:$I,3,FALSE))</f>
        <v>#N/A</v>
      </c>
      <c r="U133" s="177" t="e">
        <f>IF(S133="","",(SUMIF('Installation 1'!B:B,'Budget-Labour Equipment'!S133,'Installation 1'!I:I)+SUMIF('Subcontract 2'!B:B,'Budget-Labour Equipment'!S133,'Subcontract 2'!I:I)+SUMIF('Optional-3'!B:B,'Budget-Labour Equipment'!S133,'Optional-3'!I:I)+SUMIF('Mob-Demob'!B:B,'Budget-Labour Equipment'!S133,'Mob-Demob'!I:I)+SUMIF(Prelims!B:B,'Budget-Labour Equipment'!S133,Prelims!I:I)))</f>
        <v>#N/A</v>
      </c>
      <c r="V133" s="178" t="e">
        <f t="shared" si="23"/>
        <v>#N/A</v>
      </c>
    </row>
    <row r="134" spans="1:22" x14ac:dyDescent="0.3">
      <c r="A134" s="57" t="str">
        <f>IF('Database Lab+Equip'!G77="","Equip. Resource",'Database Lab+Equip'!G77)</f>
        <v>Equip. Resource</v>
      </c>
      <c r="B134" s="181">
        <f>IF(A134="Equip. Resource",0,VLOOKUP(A134,'Database Lab+Equip'!G:I,3,FALSE))</f>
        <v>0</v>
      </c>
      <c r="C134" s="181">
        <f>IF(SUMIF('Installation 1'!B:B,'Budget-Labour Equipment'!A134,'Installation 1'!I:I)+SUMIF('Subcontract 2'!B:B,'Budget-Labour Equipment'!A134,'Subcontract 2'!I:I)+SUMIF('Optional-3'!B:B,'Budget-Labour Equipment'!A134,'Optional-3'!I:I)+SUMIF('Mob-Demob'!B:B,'Budget-Labour Equipment'!A134,'Mob-Demob'!I:I)+SUMIF(Prelims!B:B,'Budget-Labour Equipment'!A134,Prelims!I:I)=0,0,(SUMIF('Installation 1'!B:B,'Budget-Labour Equipment'!A134,'Installation 1'!I:I)+SUMIF('Subcontract 2'!B:B,'Budget-Labour Equipment'!A134,'Subcontract 2'!I:I)+SUMIF('Optional-3'!B:B,'Budget-Labour Equipment'!A134,'Optional-3'!I:I)+SUMIF('Mob-Demob'!B:B,'Budget-Labour Equipment'!A134,'Mob-Demob'!I:I)+SUMIF(Prelims!B:B,'Budget-Labour Equipment'!A134,Prelims!I:I)))</f>
        <v>0</v>
      </c>
      <c r="D134" s="182">
        <f t="shared" si="16"/>
        <v>0</v>
      </c>
      <c r="E134" s="183">
        <f t="shared" si="17"/>
        <v>1.34E-4</v>
      </c>
      <c r="F134" s="183" t="e">
        <f t="shared" si="18"/>
        <v>#REF!</v>
      </c>
      <c r="H134" s="183" t="e">
        <f t="shared" si="19"/>
        <v>#N/A</v>
      </c>
      <c r="J134" s="183">
        <v>104</v>
      </c>
      <c r="K134" s="184" t="e">
        <f t="shared" si="20"/>
        <v>#N/A</v>
      </c>
      <c r="L134" s="185" t="e">
        <f>IF(K134="","",VLOOKUP(K134,'Database Lab+Equip'!$G:$I,3,FALSE))</f>
        <v>#N/A</v>
      </c>
      <c r="M134" s="185" t="e">
        <f>IF(K134="","",SUMIF('Installation 1'!B:B,'Budget-Labour Equipment'!K134,'Installation 1'!I:I)+SUMIF('Subcontract 2'!B:B,'Budget-Labour Equipment'!K134,'Subcontract 2'!I:I)+SUMIF('Optional-3'!B:B,'Budget-Labour Equipment'!K134,'Optional-3'!I:I)+SUMIF('Mob-Demob'!B:B,'Budget-Labour Equipment'!K134,'Mob-Demob'!I:I))</f>
        <v>#N/A</v>
      </c>
      <c r="N134" s="186" t="e">
        <f>IF(K134="","",RANK(L134,$L$31:$L$135)+COUNTIF($L$31:L134,L134)-1)</f>
        <v>#N/A</v>
      </c>
      <c r="P134" s="183" t="e">
        <f t="shared" si="21"/>
        <v>#N/A</v>
      </c>
      <c r="R134" s="32">
        <v>104</v>
      </c>
      <c r="S134" s="31" t="e">
        <f t="shared" si="22"/>
        <v>#N/A</v>
      </c>
      <c r="T134" s="177" t="e">
        <f>IF(S134="","",VLOOKUP(S134,'Database Lab+Equip'!$G:$I,3,FALSE))</f>
        <v>#N/A</v>
      </c>
      <c r="U134" s="177" t="e">
        <f>IF(S134="","",(SUMIF('Installation 1'!B:B,'Budget-Labour Equipment'!S134,'Installation 1'!I:I)+SUMIF('Subcontract 2'!B:B,'Budget-Labour Equipment'!S134,'Subcontract 2'!I:I)+SUMIF('Optional-3'!B:B,'Budget-Labour Equipment'!S134,'Optional-3'!I:I)+SUMIF('Mob-Demob'!B:B,'Budget-Labour Equipment'!S134,'Mob-Demob'!I:I)+SUMIF(Prelims!B:B,'Budget-Labour Equipment'!S134,Prelims!I:I)))</f>
        <v>#N/A</v>
      </c>
      <c r="V134" s="178" t="e">
        <f t="shared" si="23"/>
        <v>#N/A</v>
      </c>
    </row>
    <row r="135" spans="1:22" x14ac:dyDescent="0.3">
      <c r="A135" s="57" t="str">
        <f>IF('Database Lab+Equip'!G78="","Equip. Resource",'Database Lab+Equip'!G78)</f>
        <v>Equip. Resource</v>
      </c>
      <c r="B135" s="181">
        <f>IF(A135="Equip. Resource",0,VLOOKUP(A135,'Database Lab+Equip'!G:I,3,FALSE))</f>
        <v>0</v>
      </c>
      <c r="C135" s="181">
        <f>IF(SUMIF('Installation 1'!B:B,'Budget-Labour Equipment'!A135,'Installation 1'!I:I)+SUMIF('Subcontract 2'!B:B,'Budget-Labour Equipment'!A135,'Subcontract 2'!I:I)+SUMIF('Optional-3'!B:B,'Budget-Labour Equipment'!A135,'Optional-3'!I:I)+SUMIF('Mob-Demob'!B:B,'Budget-Labour Equipment'!A135,'Mob-Demob'!I:I)+SUMIF(Prelims!B:B,'Budget-Labour Equipment'!A135,Prelims!I:I)=0,0,(SUMIF('Installation 1'!B:B,'Budget-Labour Equipment'!A135,'Installation 1'!I:I)+SUMIF('Subcontract 2'!B:B,'Budget-Labour Equipment'!A135,'Subcontract 2'!I:I)+SUMIF('Optional-3'!B:B,'Budget-Labour Equipment'!A135,'Optional-3'!I:I)+SUMIF('Mob-Demob'!B:B,'Budget-Labour Equipment'!A135,'Mob-Demob'!I:I)+SUMIF(Prelims!B:B,'Budget-Labour Equipment'!A135,Prelims!I:I)))</f>
        <v>0</v>
      </c>
      <c r="D135" s="182">
        <f t="shared" si="16"/>
        <v>0</v>
      </c>
      <c r="E135" s="183">
        <f t="shared" si="17"/>
        <v>1.35E-4</v>
      </c>
      <c r="F135" s="183" t="e">
        <f t="shared" si="18"/>
        <v>#REF!</v>
      </c>
      <c r="H135" s="183" t="e">
        <f t="shared" si="19"/>
        <v>#N/A</v>
      </c>
      <c r="J135" s="183">
        <v>105</v>
      </c>
      <c r="K135" s="184" t="e">
        <f t="shared" si="20"/>
        <v>#N/A</v>
      </c>
      <c r="L135" s="185" t="e">
        <f>IF(K135="","",VLOOKUP(K135,'Database Lab+Equip'!$G:$I,3,FALSE))</f>
        <v>#N/A</v>
      </c>
      <c r="M135" s="185" t="e">
        <f>IF(K135="","",SUMIF('Installation 1'!B:B,'Budget-Labour Equipment'!K135,'Installation 1'!I:I)+SUMIF('Subcontract 2'!B:B,'Budget-Labour Equipment'!K135,'Subcontract 2'!I:I)+SUMIF('Optional-3'!B:B,'Budget-Labour Equipment'!K135,'Optional-3'!I:I)+SUMIF('Mob-Demob'!B:B,'Budget-Labour Equipment'!K135,'Mob-Demob'!I:I))</f>
        <v>#N/A</v>
      </c>
      <c r="N135" s="186" t="e">
        <f>IF(K135="","",RANK(L135,$L$31:$L$135)+COUNTIF($L$31:L135,L135)-1)</f>
        <v>#N/A</v>
      </c>
      <c r="P135" s="183" t="e">
        <f t="shared" si="21"/>
        <v>#N/A</v>
      </c>
      <c r="R135" s="32">
        <v>105</v>
      </c>
      <c r="S135" s="31" t="e">
        <f t="shared" si="22"/>
        <v>#N/A</v>
      </c>
      <c r="T135" s="177" t="e">
        <f>IF(S135="","",VLOOKUP(S135,'Database Lab+Equip'!$G:$I,3,FALSE))</f>
        <v>#N/A</v>
      </c>
      <c r="U135" s="177" t="e">
        <f>IF(S135="","",(SUMIF('Installation 1'!B:B,'Budget-Labour Equipment'!S135,'Installation 1'!I:I)+SUMIF('Subcontract 2'!B:B,'Budget-Labour Equipment'!S135,'Subcontract 2'!I:I)+SUMIF('Optional-3'!B:B,'Budget-Labour Equipment'!S135,'Optional-3'!I:I)+SUMIF('Mob-Demob'!B:B,'Budget-Labour Equipment'!S135,'Mob-Demob'!I:I)+SUMIF(Prelims!B:B,'Budget-Labour Equipment'!S135,Prelims!I:I)))</f>
        <v>#N/A</v>
      </c>
      <c r="V135" s="178" t="e">
        <f t="shared" si="23"/>
        <v>#N/A</v>
      </c>
    </row>
  </sheetData>
  <pageMargins left="0.70866141732283472" right="0.70866141732283472" top="0.74803149606299213" bottom="0.74803149606299213" header="0.31496062992125984" footer="0.31496062992125984"/>
  <pageSetup paperSize="9" scale="67" fitToWidth="0" orientation="landscape" verticalDpi="0" r:id="rId1"/>
  <headerFooter>
    <oddHeader>&amp;C&amp;"Calibri,Bold"&amp;12&amp;UBudget Estimate Template&amp;R&amp;G</oddHeader>
    <oddFooter>&amp;L&amp;F - &amp;A&amp;CPage &amp;P of &amp;N&amp;R&amp;D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C000"/>
    <pageSetUpPr fitToPage="1"/>
  </sheetPr>
  <dimension ref="A1:N115"/>
  <sheetViews>
    <sheetView topLeftCell="A47" zoomScale="85" zoomScaleNormal="85" workbookViewId="0">
      <selection activeCell="O23" sqref="O23"/>
    </sheetView>
  </sheetViews>
  <sheetFormatPr defaultColWidth="9.21875" defaultRowHeight="13.8" x14ac:dyDescent="0.3"/>
  <cols>
    <col min="1" max="1" width="19.44140625" style="31" bestFit="1" customWidth="1"/>
    <col min="2" max="2" width="31.77734375" style="31" customWidth="1"/>
    <col min="3" max="3" width="12.77734375" style="30" customWidth="1"/>
    <col min="4" max="4" width="10.44140625" style="158" customWidth="1"/>
    <col min="5" max="5" width="10.21875" style="159" customWidth="1"/>
    <col min="6" max="6" width="11.21875" style="157" customWidth="1"/>
    <col min="7" max="7" width="14.5546875" style="30" customWidth="1"/>
    <col min="8" max="8" width="14.5546875" style="31" customWidth="1"/>
    <col min="9" max="10" width="14.5546875" style="157" customWidth="1"/>
    <col min="11" max="11" width="14.5546875" style="31" customWidth="1"/>
    <col min="12" max="12" width="11.21875" style="31" customWidth="1"/>
    <col min="13" max="13" width="39.44140625" style="31" customWidth="1"/>
    <col min="14" max="16384" width="9.21875" style="31"/>
  </cols>
  <sheetData>
    <row r="1" spans="1:14" ht="15.6" x14ac:dyDescent="0.3">
      <c r="B1" s="46" t="s">
        <v>84</v>
      </c>
      <c r="C1" s="109"/>
      <c r="D1" s="109"/>
      <c r="E1" s="109"/>
      <c r="F1" s="176"/>
      <c r="I1" s="156"/>
      <c r="J1" s="156"/>
      <c r="L1" s="93" t="s">
        <v>85</v>
      </c>
      <c r="M1" s="94"/>
    </row>
    <row r="2" spans="1:14" s="132" customFormat="1" ht="12" customHeight="1" x14ac:dyDescent="0.3">
      <c r="B2" s="24" t="s">
        <v>86</v>
      </c>
      <c r="C2" s="22"/>
      <c r="D2" s="128" t="s">
        <v>87</v>
      </c>
      <c r="E2" s="23"/>
      <c r="F2" s="133"/>
      <c r="H2" s="122"/>
      <c r="I2" s="122"/>
      <c r="J2" s="122"/>
      <c r="L2" s="126" t="s">
        <v>88</v>
      </c>
      <c r="M2" s="127"/>
    </row>
    <row r="3" spans="1:14" s="132" customFormat="1" ht="12" customHeight="1" x14ac:dyDescent="0.3">
      <c r="B3" s="24"/>
      <c r="C3" s="25"/>
      <c r="D3" s="128" t="s">
        <v>89</v>
      </c>
      <c r="E3" s="23"/>
      <c r="J3" s="29"/>
      <c r="L3" s="126" t="s">
        <v>90</v>
      </c>
      <c r="M3" s="127"/>
    </row>
    <row r="4" spans="1:14" s="132" customFormat="1" ht="12" customHeight="1" x14ac:dyDescent="0.3">
      <c r="B4" s="24"/>
      <c r="C4" s="27" t="str">
        <f>IF(C259="","",IF(E261="","",C259/E261+C260))</f>
        <v/>
      </c>
      <c r="D4" s="128" t="s">
        <v>91</v>
      </c>
      <c r="E4" s="23"/>
      <c r="J4" s="29"/>
      <c r="L4" s="126" t="s">
        <v>92</v>
      </c>
      <c r="M4" s="127"/>
      <c r="N4" s="35"/>
    </row>
    <row r="5" spans="1:14" s="132" customFormat="1" ht="12" customHeight="1" x14ac:dyDescent="0.3">
      <c r="B5" s="59" t="s">
        <v>93</v>
      </c>
      <c r="C5" s="25"/>
      <c r="D5" s="128" t="s">
        <v>25</v>
      </c>
      <c r="E5" s="128">
        <f>SUM(C10:C21)</f>
        <v>12</v>
      </c>
      <c r="J5" s="29"/>
      <c r="L5" s="93" t="s">
        <v>94</v>
      </c>
      <c r="M5" s="94"/>
      <c r="N5" s="35"/>
    </row>
    <row r="6" spans="1:14" s="132" customFormat="1" ht="12" customHeight="1" x14ac:dyDescent="0.3">
      <c r="B6" s="59" t="s">
        <v>95</v>
      </c>
      <c r="C6" s="25"/>
      <c r="D6" s="128" t="s">
        <v>44</v>
      </c>
      <c r="E6" s="244">
        <v>1</v>
      </c>
      <c r="J6" s="29"/>
      <c r="L6" s="57" t="s">
        <v>70</v>
      </c>
      <c r="M6" s="58">
        <v>0.05</v>
      </c>
    </row>
    <row r="7" spans="1:14" s="132" customFormat="1" ht="12" customHeight="1" x14ac:dyDescent="0.3">
      <c r="A7" s="28"/>
      <c r="B7" s="28"/>
      <c r="C7" s="28"/>
      <c r="D7" s="28"/>
      <c r="H7" s="28"/>
      <c r="I7" s="28"/>
      <c r="J7" s="29"/>
      <c r="K7" s="134"/>
      <c r="L7" s="57" t="s">
        <v>80</v>
      </c>
      <c r="M7" s="58">
        <v>0.05</v>
      </c>
    </row>
    <row r="8" spans="1:14" s="132" customFormat="1" ht="12" customHeight="1" x14ac:dyDescent="0.3">
      <c r="A8" s="28"/>
      <c r="B8" s="28"/>
      <c r="C8" s="28"/>
      <c r="D8" s="28"/>
      <c r="H8" s="28"/>
      <c r="I8" s="28"/>
      <c r="J8" s="29"/>
      <c r="K8" s="134"/>
    </row>
    <row r="9" spans="1:14" s="136" customFormat="1" ht="27.6" x14ac:dyDescent="0.25">
      <c r="A9" s="47" t="s">
        <v>96</v>
      </c>
      <c r="B9" s="47" t="s">
        <v>70</v>
      </c>
      <c r="C9" s="48" t="s">
        <v>47</v>
      </c>
      <c r="D9" s="135" t="s">
        <v>97</v>
      </c>
      <c r="E9" s="48" t="s">
        <v>98</v>
      </c>
      <c r="F9" s="48" t="s">
        <v>99</v>
      </c>
      <c r="G9" s="48" t="s">
        <v>22</v>
      </c>
      <c r="H9" s="48" t="s">
        <v>23</v>
      </c>
      <c r="I9" s="135" t="s">
        <v>100</v>
      </c>
      <c r="J9" s="124"/>
      <c r="K9" s="48"/>
      <c r="L9" s="48" t="s">
        <v>101</v>
      </c>
      <c r="M9" s="48" t="s">
        <v>0</v>
      </c>
    </row>
    <row r="10" spans="1:14" s="132" customFormat="1" ht="12" customHeight="1" x14ac:dyDescent="0.3">
      <c r="A10" s="137" t="s">
        <v>102</v>
      </c>
      <c r="B10" s="138" t="str">
        <f>IF(A10="","",VLOOKUP(A10,'Database Lab+Equip'!$A:$D,2,FALSE))</f>
        <v>Supervisor</v>
      </c>
      <c r="C10" s="139">
        <v>1</v>
      </c>
      <c r="D10" s="139">
        <v>12</v>
      </c>
      <c r="E10" s="140">
        <f>IF(A10="",0,VLOOKUP(A10,'Database Lab+Equip'!$A:$D,3,FALSE))</f>
        <v>100</v>
      </c>
      <c r="F10" s="140">
        <f>IF(A10="",0,VLOOKUP(A10,'Database Lab+Equip'!$A:$D,4,FALSE))</f>
        <v>140</v>
      </c>
      <c r="G10" s="140">
        <f>IF(A10="",0,C10*D10*E10*E$6)</f>
        <v>1200</v>
      </c>
      <c r="H10" s="140">
        <f>IF(A10="",0,C10*D10*F10*E$6)</f>
        <v>1680</v>
      </c>
      <c r="I10" s="140">
        <f>(H10*$M$6)+H10</f>
        <v>1764</v>
      </c>
      <c r="J10" s="84"/>
      <c r="K10" s="29"/>
      <c r="L10" s="122"/>
      <c r="M10" s="84"/>
    </row>
    <row r="11" spans="1:14" s="132" customFormat="1" ht="12" customHeight="1" x14ac:dyDescent="0.3">
      <c r="A11" s="137" t="s">
        <v>103</v>
      </c>
      <c r="B11" s="31" t="s">
        <v>104</v>
      </c>
      <c r="C11" s="142">
        <v>2</v>
      </c>
      <c r="D11" s="142">
        <v>12</v>
      </c>
      <c r="E11" s="140">
        <f>IF(A11="",0,VLOOKUP(A11,'Database Lab+Equip'!$A:$D,3,FALSE))</f>
        <v>90</v>
      </c>
      <c r="F11" s="140">
        <f>IF(A11="",0,VLOOKUP(A11,'Database Lab+Equip'!$A:$D,4,FALSE))</f>
        <v>125.99999999999999</v>
      </c>
      <c r="G11" s="140">
        <f>IF(A11="",0,C11*D11*E11*E$6)</f>
        <v>2160</v>
      </c>
      <c r="H11" s="140">
        <f>IF(A11="",0,C11*D11*F11*E$6)</f>
        <v>3023.9999999999995</v>
      </c>
      <c r="I11" s="140">
        <f>(H11*$M$6)+H11</f>
        <v>3175.1999999999994</v>
      </c>
      <c r="J11" s="84"/>
      <c r="K11" s="29"/>
      <c r="L11" s="122"/>
      <c r="M11" s="122"/>
    </row>
    <row r="12" spans="1:14" s="132" customFormat="1" ht="12" customHeight="1" x14ac:dyDescent="0.3">
      <c r="A12" s="137" t="s">
        <v>105</v>
      </c>
      <c r="B12" s="138" t="str">
        <f>IF(A12="","",VLOOKUP(A12,'Database Lab+Equip'!$A:$D,2,FALSE))</f>
        <v>Operator</v>
      </c>
      <c r="C12" s="142">
        <v>2</v>
      </c>
      <c r="D12" s="142">
        <v>12</v>
      </c>
      <c r="E12" s="140">
        <f>IF(A12="",0,VLOOKUP(A12,'Database Lab+Equip'!$A:$D,3,FALSE))</f>
        <v>90</v>
      </c>
      <c r="F12" s="140">
        <f>IF(A12="",0,VLOOKUP(A12,'Database Lab+Equip'!$A:$D,4,FALSE))</f>
        <v>125.99999999999999</v>
      </c>
      <c r="G12" s="140">
        <f>IF(A12="",0,C12*D12*E12*E$6)</f>
        <v>2160</v>
      </c>
      <c r="H12" s="140">
        <f>IF(A12="",0,C12*D12*F12*E$6)</f>
        <v>3023.9999999999995</v>
      </c>
      <c r="I12" s="140">
        <f>(H12*$M$6)+H12</f>
        <v>3175.1999999999994</v>
      </c>
      <c r="J12" s="84"/>
      <c r="K12" s="29"/>
      <c r="L12" s="122"/>
      <c r="M12" s="122"/>
    </row>
    <row r="13" spans="1:14" s="132" customFormat="1" ht="12" customHeight="1" x14ac:dyDescent="0.3">
      <c r="A13" s="137" t="s">
        <v>106</v>
      </c>
      <c r="B13" s="138" t="str">
        <f>IF(A13="","",VLOOKUP(A13,'Database Lab+Equip'!$A:$D,2,FALSE))</f>
        <v>Trades Assistant</v>
      </c>
      <c r="C13" s="142">
        <v>1</v>
      </c>
      <c r="D13" s="142">
        <v>12</v>
      </c>
      <c r="E13" s="140">
        <f>IF(A13="",0,VLOOKUP(A13,'Database Lab+Equip'!$A:$D,3,FALSE))</f>
        <v>85</v>
      </c>
      <c r="F13" s="140">
        <f>IF(A13="",0,VLOOKUP(A13,'Database Lab+Equip'!$A:$D,4,FALSE))</f>
        <v>118.99999999999999</v>
      </c>
      <c r="G13" s="140">
        <f>IF(A13="",0,C13*D13*E13*E$6)</f>
        <v>1020</v>
      </c>
      <c r="H13" s="140">
        <f>IF(A13="",0,C13*D13*F13*E$6)</f>
        <v>1427.9999999999998</v>
      </c>
      <c r="I13" s="140">
        <f>(H13*$M$6)+H13</f>
        <v>1499.3999999999999</v>
      </c>
      <c r="J13" s="84"/>
      <c r="K13" s="29"/>
      <c r="L13" s="122"/>
      <c r="M13" s="122"/>
    </row>
    <row r="14" spans="1:14" s="132" customFormat="1" ht="12" customHeight="1" x14ac:dyDescent="0.3">
      <c r="A14" s="137" t="s">
        <v>107</v>
      </c>
      <c r="B14" s="138" t="str">
        <f>IF(A14="","",VLOOKUP(A14,'Database Lab+Equip'!$A:$D,2,FALSE))</f>
        <v>Inductions</v>
      </c>
      <c r="C14" s="142">
        <v>6</v>
      </c>
      <c r="D14" s="142">
        <v>6.5</v>
      </c>
      <c r="E14" s="140">
        <f>IF(A14="",0,VLOOKUP(A14,'Database Lab+Equip'!$A:$D,3,FALSE))</f>
        <v>80</v>
      </c>
      <c r="F14" s="140">
        <f>IF(A14="",0,VLOOKUP(A14,'Database Lab+Equip'!$A:$D,4,FALSE))</f>
        <v>112</v>
      </c>
      <c r="G14" s="140">
        <f t="shared" ref="G14:G20" si="0">IF(A14="",0,C14*D14*E14*E$6)</f>
        <v>3120</v>
      </c>
      <c r="H14" s="140">
        <f t="shared" ref="H14:H20" si="1">IF(A14="",0,C14*D14*F14*E$6)</f>
        <v>4368</v>
      </c>
      <c r="I14" s="140">
        <f t="shared" ref="I14:I20" si="2">(H14*$M$6)+H14</f>
        <v>4586.3999999999996</v>
      </c>
      <c r="J14" s="84"/>
      <c r="K14" s="29"/>
      <c r="L14" s="122"/>
      <c r="M14" s="122"/>
    </row>
    <row r="15" spans="1:14" s="132" customFormat="1" ht="12" customHeight="1" x14ac:dyDescent="0.3">
      <c r="A15" s="137"/>
      <c r="B15" s="138" t="str">
        <f>IF(A15="","",VLOOKUP(A15,'Database Lab+Equip'!$A:$D,2,FALSE))</f>
        <v/>
      </c>
      <c r="C15" s="142"/>
      <c r="D15" s="142"/>
      <c r="E15" s="140">
        <f>IF(A15="",0,VLOOKUP(A15,'Database Lab+Equip'!$A:$D,3,FALSE))</f>
        <v>0</v>
      </c>
      <c r="F15" s="140">
        <f>IF(A15="",0,VLOOKUP(A15,'Database Lab+Equip'!$A:$D,4,FALSE))</f>
        <v>0</v>
      </c>
      <c r="G15" s="140">
        <f t="shared" si="0"/>
        <v>0</v>
      </c>
      <c r="H15" s="140">
        <f t="shared" si="1"/>
        <v>0</v>
      </c>
      <c r="I15" s="140">
        <f t="shared" si="2"/>
        <v>0</v>
      </c>
      <c r="J15" s="84"/>
      <c r="K15" s="29"/>
      <c r="L15" s="122"/>
      <c r="M15" s="122"/>
    </row>
    <row r="16" spans="1:14" s="132" customFormat="1" ht="12" customHeight="1" x14ac:dyDescent="0.3">
      <c r="A16" s="137"/>
      <c r="B16" s="138" t="str">
        <f>IF(A16="","",VLOOKUP(A16,'Database Lab+Equip'!$A:$D,2,FALSE))</f>
        <v/>
      </c>
      <c r="C16" s="142"/>
      <c r="D16" s="142"/>
      <c r="E16" s="140">
        <f>IF(A16="",0,VLOOKUP(A16,'Database Lab+Equip'!$A:$D,3,FALSE))</f>
        <v>0</v>
      </c>
      <c r="F16" s="140">
        <f>IF(A16="",0,VLOOKUP(A16,'Database Lab+Equip'!$A:$D,4,FALSE))</f>
        <v>0</v>
      </c>
      <c r="G16" s="140">
        <f t="shared" si="0"/>
        <v>0</v>
      </c>
      <c r="H16" s="140">
        <f t="shared" si="1"/>
        <v>0</v>
      </c>
      <c r="I16" s="140">
        <f t="shared" si="2"/>
        <v>0</v>
      </c>
      <c r="J16" s="84"/>
      <c r="K16" s="29"/>
      <c r="L16" s="122"/>
      <c r="M16" s="122"/>
    </row>
    <row r="17" spans="1:13" s="132" customFormat="1" ht="12" customHeight="1" x14ac:dyDescent="0.3">
      <c r="A17" s="137"/>
      <c r="B17" s="138" t="str">
        <f>IF(A17="","",VLOOKUP(A17,'Database Lab+Equip'!$A:$D,2,FALSE))</f>
        <v/>
      </c>
      <c r="C17" s="142"/>
      <c r="D17" s="142"/>
      <c r="E17" s="140">
        <f>IF(A17="",0,VLOOKUP(A17,'Database Lab+Equip'!$A:$D,3,FALSE))</f>
        <v>0</v>
      </c>
      <c r="F17" s="140">
        <f>IF(A17="",0,VLOOKUP(A17,'Database Lab+Equip'!$A:$D,4,FALSE))</f>
        <v>0</v>
      </c>
      <c r="G17" s="140">
        <f t="shared" si="0"/>
        <v>0</v>
      </c>
      <c r="H17" s="140">
        <f t="shared" si="1"/>
        <v>0</v>
      </c>
      <c r="I17" s="140">
        <f t="shared" si="2"/>
        <v>0</v>
      </c>
      <c r="J17" s="84"/>
      <c r="K17" s="29"/>
      <c r="L17" s="122"/>
      <c r="M17" s="122"/>
    </row>
    <row r="18" spans="1:13" s="132" customFormat="1" ht="12" customHeight="1" x14ac:dyDescent="0.3">
      <c r="A18" s="137"/>
      <c r="B18" s="138" t="str">
        <f>IF(A18="","",VLOOKUP(A18,'Database Lab+Equip'!$A:$D,2,FALSE))</f>
        <v/>
      </c>
      <c r="C18" s="142"/>
      <c r="D18" s="142"/>
      <c r="E18" s="140">
        <f>IF(A18="",0,VLOOKUP(A18,'Database Lab+Equip'!$A:$D,3,FALSE))</f>
        <v>0</v>
      </c>
      <c r="F18" s="140">
        <f>IF(A18="",0,VLOOKUP(A18,'Database Lab+Equip'!$A:$D,4,FALSE))</f>
        <v>0</v>
      </c>
      <c r="G18" s="140">
        <f t="shared" si="0"/>
        <v>0</v>
      </c>
      <c r="H18" s="140">
        <f t="shared" si="1"/>
        <v>0</v>
      </c>
      <c r="I18" s="140">
        <f t="shared" si="2"/>
        <v>0</v>
      </c>
      <c r="J18" s="84"/>
      <c r="K18" s="29"/>
      <c r="L18" s="122"/>
      <c r="M18" s="122"/>
    </row>
    <row r="19" spans="1:13" s="132" customFormat="1" ht="12" customHeight="1" x14ac:dyDescent="0.3">
      <c r="A19" s="137"/>
      <c r="B19" s="138" t="str">
        <f>IF(A19="","",VLOOKUP(A19,'Database Lab+Equip'!$A:$D,2,FALSE))</f>
        <v/>
      </c>
      <c r="C19" s="142"/>
      <c r="D19" s="142"/>
      <c r="E19" s="140">
        <f>IF(A19="",0,VLOOKUP(A19,'Database Lab+Equip'!$A:$D,3,FALSE))</f>
        <v>0</v>
      </c>
      <c r="F19" s="140">
        <f>IF(A19="",0,VLOOKUP(A19,'Database Lab+Equip'!$A:$D,4,FALSE))</f>
        <v>0</v>
      </c>
      <c r="G19" s="140">
        <f t="shared" si="0"/>
        <v>0</v>
      </c>
      <c r="H19" s="140">
        <f t="shared" si="1"/>
        <v>0</v>
      </c>
      <c r="I19" s="140">
        <f t="shared" si="2"/>
        <v>0</v>
      </c>
      <c r="J19" s="84"/>
      <c r="K19" s="29"/>
      <c r="L19" s="122"/>
      <c r="M19" s="122"/>
    </row>
    <row r="20" spans="1:13" s="132" customFormat="1" ht="12" customHeight="1" x14ac:dyDescent="0.3">
      <c r="A20" s="137"/>
      <c r="B20" s="138" t="str">
        <f>IF(A20="","",VLOOKUP(A20,'Database Lab+Equip'!$A:$D,2,FALSE))</f>
        <v/>
      </c>
      <c r="C20" s="142"/>
      <c r="D20" s="142"/>
      <c r="E20" s="140">
        <f>IF(A20="",0,VLOOKUP(A20,'Database Lab+Equip'!$A:$D,3,FALSE))</f>
        <v>0</v>
      </c>
      <c r="F20" s="140">
        <f>IF(A20="",0,VLOOKUP(A20,'Database Lab+Equip'!$A:$D,4,FALSE))</f>
        <v>0</v>
      </c>
      <c r="G20" s="140">
        <f t="shared" si="0"/>
        <v>0</v>
      </c>
      <c r="H20" s="140">
        <f t="shared" si="1"/>
        <v>0</v>
      </c>
      <c r="I20" s="140">
        <f t="shared" si="2"/>
        <v>0</v>
      </c>
      <c r="J20" s="84"/>
      <c r="K20" s="29"/>
      <c r="L20" s="122"/>
      <c r="M20" s="122"/>
    </row>
    <row r="21" spans="1:13" s="132" customFormat="1" ht="12" customHeight="1" x14ac:dyDescent="0.3">
      <c r="A21" s="137"/>
      <c r="B21" s="138" t="str">
        <f>IF(A21="","",VLOOKUP(A21,'Database Lab+Equip'!$A:$D,2,FALSE))</f>
        <v/>
      </c>
      <c r="C21" s="142"/>
      <c r="D21" s="142"/>
      <c r="E21" s="140">
        <f>IF(A21="",0,VLOOKUP(A21,'Database Lab+Equip'!$A:$D,3,FALSE))</f>
        <v>0</v>
      </c>
      <c r="F21" s="140">
        <f>IF(A21="",0,VLOOKUP(A21,'Database Lab+Equip'!$A:$D,4,FALSE))</f>
        <v>0</v>
      </c>
      <c r="G21" s="140">
        <f>IF(A21="",0,C21*D21*E21*E$6)</f>
        <v>0</v>
      </c>
      <c r="H21" s="140">
        <f>IF(A21="",0,C21*D21*F21*E$6)</f>
        <v>0</v>
      </c>
      <c r="I21" s="140">
        <f>(H21*$M$6)+H21</f>
        <v>0</v>
      </c>
      <c r="J21" s="152" t="s">
        <v>108</v>
      </c>
      <c r="K21" s="153" t="s">
        <v>109</v>
      </c>
      <c r="L21" s="31"/>
    </row>
    <row r="22" spans="1:13" s="132" customFormat="1" ht="12" customHeight="1" x14ac:dyDescent="0.3">
      <c r="A22" s="35"/>
      <c r="B22" s="140"/>
      <c r="C22" s="140"/>
      <c r="D22" s="140"/>
      <c r="E22" s="140"/>
      <c r="F22" s="140"/>
      <c r="G22" s="21">
        <f>SUM(G10:G21)</f>
        <v>9660</v>
      </c>
      <c r="H22" s="21">
        <f>SUM(H10:H21)</f>
        <v>13524</v>
      </c>
      <c r="I22" s="21">
        <f>SUM(I10:I21)</f>
        <v>14200.199999999997</v>
      </c>
      <c r="J22" s="21">
        <f>G22</f>
        <v>9660</v>
      </c>
      <c r="K22" s="34">
        <f>I22</f>
        <v>14200.199999999997</v>
      </c>
      <c r="L22" s="154">
        <f>IF(J22=0,0,(K22-J22)/J22)</f>
        <v>0.4699999999999997</v>
      </c>
      <c r="M22" s="227">
        <f>SUM(I10:I21)-SUM(G10:G21)</f>
        <v>4540.1999999999971</v>
      </c>
    </row>
    <row r="23" spans="1:13" s="132" customFormat="1" ht="12" customHeight="1" x14ac:dyDescent="0.3">
      <c r="A23" s="35"/>
      <c r="B23" s="143"/>
      <c r="C23" s="122"/>
      <c r="D23" s="122"/>
      <c r="E23" s="122"/>
      <c r="F23" s="122"/>
      <c r="G23" s="122"/>
      <c r="H23" s="122"/>
      <c r="I23" s="144"/>
      <c r="J23" s="84"/>
      <c r="K23" s="29"/>
      <c r="L23" s="122"/>
      <c r="M23" s="122"/>
    </row>
    <row r="24" spans="1:13" s="136" customFormat="1" ht="41.4" x14ac:dyDescent="0.25">
      <c r="A24" s="47" t="s">
        <v>96</v>
      </c>
      <c r="B24" s="47" t="s">
        <v>80</v>
      </c>
      <c r="C24" s="48" t="s">
        <v>47</v>
      </c>
      <c r="D24" s="135" t="s">
        <v>110</v>
      </c>
      <c r="E24" s="48" t="s">
        <v>98</v>
      </c>
      <c r="F24" s="48" t="s">
        <v>99</v>
      </c>
      <c r="G24" s="48" t="s">
        <v>22</v>
      </c>
      <c r="H24" s="48" t="s">
        <v>23</v>
      </c>
      <c r="I24" s="135" t="s">
        <v>100</v>
      </c>
      <c r="J24" s="145"/>
      <c r="K24" s="48"/>
      <c r="L24" s="124"/>
      <c r="M24" s="124"/>
    </row>
    <row r="25" spans="1:13" s="132" customFormat="1" ht="12" customHeight="1" x14ac:dyDescent="0.3">
      <c r="A25" s="146" t="s">
        <v>111</v>
      </c>
      <c r="B25" s="71" t="str">
        <f>IF(A25="","",VLOOKUP(A25,'Database Lab+Equip'!$F:$I,2,FALSE))</f>
        <v>Light 4WD Vehicle - D/Cab Ute</v>
      </c>
      <c r="C25" s="139">
        <v>3</v>
      </c>
      <c r="D25" s="139">
        <v>1</v>
      </c>
      <c r="E25" s="140">
        <f>IF(A25="",0,VLOOKUP(A25,'Database Lab+Equip'!$F:$I,3,FALSE))</f>
        <v>120</v>
      </c>
      <c r="F25" s="140">
        <f>IF(A25="",0,VLOOKUP(A25,'Database Lab+Equip'!$F:$I,4,FALSE))</f>
        <v>216</v>
      </c>
      <c r="G25" s="140">
        <f t="shared" ref="G25:G39" si="3">IF(A25="",0,C25*D25*E25*E$6)</f>
        <v>360</v>
      </c>
      <c r="H25" s="140">
        <f t="shared" ref="H25:H39" si="4">IF(A25="",0,C25*D25*F25*E$6)</f>
        <v>648</v>
      </c>
      <c r="I25" s="140">
        <f t="shared" ref="I25:I31" si="5">(H25*$M$7)+H25</f>
        <v>680.4</v>
      </c>
      <c r="J25" s="84"/>
      <c r="K25" s="29"/>
      <c r="L25" s="122"/>
      <c r="M25" s="84"/>
    </row>
    <row r="26" spans="1:13" s="132" customFormat="1" ht="12" customHeight="1" x14ac:dyDescent="0.3">
      <c r="A26" s="146" t="s">
        <v>112</v>
      </c>
      <c r="B26" s="71" t="str">
        <f>IF(A26="","",VLOOKUP(A26,'Database Lab+Equip'!$F:$I,2,FALSE))</f>
        <v>Trailer Fuel 2,000L Tandem Axle</v>
      </c>
      <c r="C26" s="142">
        <v>1</v>
      </c>
      <c r="D26" s="139">
        <v>1</v>
      </c>
      <c r="E26" s="140">
        <f>IF(A26="",0,VLOOKUP(A26,'Database Lab+Equip'!$F:$I,3,FALSE))</f>
        <v>145</v>
      </c>
      <c r="F26" s="140">
        <f>IF(A26="",0,VLOOKUP(A26,'Database Lab+Equip'!$F:$I,4,FALSE))</f>
        <v>203</v>
      </c>
      <c r="G26" s="140">
        <f t="shared" si="3"/>
        <v>145</v>
      </c>
      <c r="H26" s="140">
        <f t="shared" si="4"/>
        <v>203</v>
      </c>
      <c r="I26" s="140">
        <f t="shared" si="5"/>
        <v>213.15</v>
      </c>
      <c r="J26" s="122"/>
      <c r="K26" s="29"/>
      <c r="L26" s="122"/>
      <c r="M26" s="122"/>
    </row>
    <row r="27" spans="1:13" s="132" customFormat="1" ht="12" customHeight="1" x14ac:dyDescent="0.3">
      <c r="A27" s="146" t="s">
        <v>113</v>
      </c>
      <c r="B27" s="71" t="str">
        <f>IF(A27="","",VLOOKUP(A27,'Database Lab+Equip'!$F:$I,2,FALSE))</f>
        <v>Shindawa 15kVa Diesel Genset/Welder</v>
      </c>
      <c r="C27" s="142">
        <v>1</v>
      </c>
      <c r="D27" s="139">
        <v>1</v>
      </c>
      <c r="E27" s="140">
        <f>IF(A27="",0,VLOOKUP(A27,'Database Lab+Equip'!$F:$I,3,FALSE))</f>
        <v>35</v>
      </c>
      <c r="F27" s="140">
        <f>IF(A27="",0,VLOOKUP(A27,'Database Lab+Equip'!$F:$I,4,FALSE))</f>
        <v>63</v>
      </c>
      <c r="G27" s="140">
        <f t="shared" si="3"/>
        <v>35</v>
      </c>
      <c r="H27" s="140">
        <f t="shared" si="4"/>
        <v>63</v>
      </c>
      <c r="I27" s="140">
        <f t="shared" si="5"/>
        <v>66.150000000000006</v>
      </c>
      <c r="J27" s="84"/>
      <c r="K27" s="29"/>
      <c r="L27" s="122"/>
      <c r="M27" s="122"/>
    </row>
    <row r="28" spans="1:13" s="132" customFormat="1" ht="12" customHeight="1" x14ac:dyDescent="0.3">
      <c r="A28" s="146" t="s">
        <v>114</v>
      </c>
      <c r="B28" s="71" t="str">
        <f>IF(A28="","",VLOOKUP(A28,'Database Lab+Equip'!$F:$I,2,FALSE))</f>
        <v>Light Vehicle km Rate for Travel</v>
      </c>
      <c r="C28" s="142">
        <v>2556</v>
      </c>
      <c r="D28" s="139">
        <v>1</v>
      </c>
      <c r="E28" s="140">
        <f>IF(A28="",0,VLOOKUP(A28,'Database Lab+Equip'!$F:$I,3,FALSE))</f>
        <v>1.5</v>
      </c>
      <c r="F28" s="140">
        <f>IF(A28="",0,VLOOKUP(A28,'Database Lab+Equip'!$F:$I,4,FALSE))</f>
        <v>2.7</v>
      </c>
      <c r="G28" s="140">
        <f t="shared" si="3"/>
        <v>3834</v>
      </c>
      <c r="H28" s="140">
        <f t="shared" si="4"/>
        <v>6901.2000000000007</v>
      </c>
      <c r="I28" s="140">
        <f t="shared" si="5"/>
        <v>7246.2600000000011</v>
      </c>
      <c r="J28" s="84"/>
      <c r="K28" s="29"/>
      <c r="L28" s="122"/>
      <c r="M28" s="122"/>
    </row>
    <row r="29" spans="1:13" s="132" customFormat="1" ht="12" customHeight="1" x14ac:dyDescent="0.3">
      <c r="A29" s="146" t="s">
        <v>115</v>
      </c>
      <c r="B29" s="71" t="str">
        <f>IF(A29="","",VLOOKUP(A29,'Database Lab+Equip'!$F:$I,2,FALSE))</f>
        <v>TracStar 900 Polywelding Machine c/w dies</v>
      </c>
      <c r="C29" s="142">
        <v>2</v>
      </c>
      <c r="D29" s="139">
        <v>1</v>
      </c>
      <c r="E29" s="140">
        <f>IF(A29="",0,VLOOKUP(A29,'Database Lab+Equip'!$F:$I,3,FALSE))</f>
        <v>700</v>
      </c>
      <c r="F29" s="140">
        <f>IF(A29="",0,VLOOKUP(A29,'Database Lab+Equip'!$F:$I,4,FALSE))</f>
        <v>979.99999999999989</v>
      </c>
      <c r="G29" s="140">
        <f t="shared" si="3"/>
        <v>1400</v>
      </c>
      <c r="H29" s="140">
        <f t="shared" si="4"/>
        <v>1959.9999999999998</v>
      </c>
      <c r="I29" s="140">
        <f t="shared" si="5"/>
        <v>2058</v>
      </c>
      <c r="J29" s="84"/>
      <c r="K29" s="29"/>
      <c r="L29" s="122"/>
      <c r="M29" s="122"/>
    </row>
    <row r="30" spans="1:13" s="132" customFormat="1" ht="12" customHeight="1" x14ac:dyDescent="0.3">
      <c r="A30" s="146" t="s">
        <v>116</v>
      </c>
      <c r="B30" s="71" t="str">
        <f>IF(A30="","",VLOOKUP(A30,'Database Lab+Equip'!$F:$I,2,FALSE))</f>
        <v>Hand tools</v>
      </c>
      <c r="C30" s="142">
        <v>1</v>
      </c>
      <c r="D30" s="139">
        <v>1</v>
      </c>
      <c r="E30" s="140">
        <f>IF(A30="",0,VLOOKUP(A30,'Database Lab+Equip'!$F:$I,3,FALSE))</f>
        <v>85</v>
      </c>
      <c r="F30" s="140">
        <f>IF(A30="",0,VLOOKUP(A30,'Database Lab+Equip'!$F:$I,4,FALSE))</f>
        <v>153</v>
      </c>
      <c r="G30" s="140">
        <f t="shared" si="3"/>
        <v>85</v>
      </c>
      <c r="H30" s="140">
        <f t="shared" si="4"/>
        <v>153</v>
      </c>
      <c r="I30" s="140">
        <f t="shared" si="5"/>
        <v>160.65</v>
      </c>
      <c r="J30" s="84"/>
      <c r="K30" s="29"/>
      <c r="L30" s="122"/>
      <c r="M30" s="122"/>
    </row>
    <row r="31" spans="1:13" s="132" customFormat="1" ht="12" customHeight="1" x14ac:dyDescent="0.3">
      <c r="A31" s="146" t="s">
        <v>117</v>
      </c>
      <c r="B31" s="71" t="str">
        <f>IF(A31="","",VLOOKUP(A31,'Database Lab+Equip'!$F:$I,2,FALSE))</f>
        <v>Stihl MS-390 Chainsaw</v>
      </c>
      <c r="C31" s="142">
        <v>2</v>
      </c>
      <c r="D31" s="139">
        <v>1</v>
      </c>
      <c r="E31" s="140">
        <f>IF(A31="",0,VLOOKUP(A31,'Database Lab+Equip'!$F:$I,3,FALSE))</f>
        <v>30</v>
      </c>
      <c r="F31" s="140">
        <f>IF(A31="",0,VLOOKUP(A31,'Database Lab+Equip'!$F:$I,4,FALSE))</f>
        <v>54</v>
      </c>
      <c r="G31" s="140">
        <f t="shared" si="3"/>
        <v>60</v>
      </c>
      <c r="H31" s="140">
        <f t="shared" si="4"/>
        <v>108</v>
      </c>
      <c r="I31" s="140">
        <f t="shared" si="5"/>
        <v>113.4</v>
      </c>
      <c r="J31" s="84"/>
      <c r="K31" s="29"/>
      <c r="L31" s="122"/>
      <c r="M31" s="122"/>
    </row>
    <row r="32" spans="1:13" s="132" customFormat="1" ht="12" customHeight="1" x14ac:dyDescent="0.3">
      <c r="A32" s="146" t="s">
        <v>118</v>
      </c>
      <c r="B32" s="71" t="str">
        <f>IF(A32="","",VLOOKUP(A32,'Database Lab+Equip'!$F:$I,2,FALSE))</f>
        <v>Kubota Lowboy Genset 6kVa Silenced</v>
      </c>
      <c r="C32" s="150">
        <v>1</v>
      </c>
      <c r="D32" s="139">
        <v>1</v>
      </c>
      <c r="E32" s="140">
        <f>IF(A32="",0,VLOOKUP(A32,'Database Lab+Equip'!$F:$I,3,FALSE))</f>
        <v>25</v>
      </c>
      <c r="F32" s="140">
        <f>IF(A32="",0,VLOOKUP(A32,'Database Lab+Equip'!$F:$I,4,FALSE))</f>
        <v>45</v>
      </c>
      <c r="G32" s="140">
        <f t="shared" si="3"/>
        <v>25</v>
      </c>
      <c r="H32" s="140">
        <f t="shared" si="4"/>
        <v>45</v>
      </c>
      <c r="I32" s="140">
        <f t="shared" ref="I32:I39" si="6">(H32*$M$7)+H32</f>
        <v>47.25</v>
      </c>
      <c r="J32" s="84"/>
      <c r="K32" s="29"/>
      <c r="L32" s="122"/>
      <c r="M32" s="122"/>
    </row>
    <row r="33" spans="1:13" s="132" customFormat="1" ht="12" customHeight="1" x14ac:dyDescent="0.3">
      <c r="A33" s="146" t="s">
        <v>119</v>
      </c>
      <c r="B33" s="71" t="str">
        <f>IF(A33="","",VLOOKUP(A33,'Database Lab+Equip'!$F:$I,2,FALSE))</f>
        <v>HF350 Polywelding Machine c/w dies</v>
      </c>
      <c r="C33" s="150">
        <v>1</v>
      </c>
      <c r="D33" s="139">
        <v>1</v>
      </c>
      <c r="E33" s="140">
        <f>IF(A33="",0,VLOOKUP(A33,'Database Lab+Equip'!$F:$I,3,FALSE))</f>
        <v>110</v>
      </c>
      <c r="F33" s="140">
        <f>IF(A33="",0,VLOOKUP(A33,'Database Lab+Equip'!$F:$I,4,FALSE))</f>
        <v>198</v>
      </c>
      <c r="G33" s="140">
        <f t="shared" si="3"/>
        <v>110</v>
      </c>
      <c r="H33" s="140">
        <f t="shared" si="4"/>
        <v>198</v>
      </c>
      <c r="I33" s="140">
        <f t="shared" si="6"/>
        <v>207.9</v>
      </c>
      <c r="J33" s="84"/>
      <c r="K33" s="29"/>
      <c r="L33" s="122"/>
      <c r="M33" s="122"/>
    </row>
    <row r="34" spans="1:13" s="132" customFormat="1" ht="12" customHeight="1" x14ac:dyDescent="0.3">
      <c r="A34" s="146" t="s">
        <v>120</v>
      </c>
      <c r="B34" s="71" t="str">
        <f>IF(A34="","",VLOOKUP(A34,'Database Lab+Equip'!$F:$I,2,FALSE))</f>
        <v>WA320</v>
      </c>
      <c r="C34" s="150">
        <v>2</v>
      </c>
      <c r="D34" s="139">
        <v>1</v>
      </c>
      <c r="E34" s="140">
        <f>IF(A34="",0,VLOOKUP(A34,'Database Lab+Equip'!$F:$I,3,FALSE))</f>
        <v>400</v>
      </c>
      <c r="F34" s="140">
        <f>IF(A34="",0,VLOOKUP(A34,'Database Lab+Equip'!$F:$I,4,FALSE))</f>
        <v>720</v>
      </c>
      <c r="G34" s="140">
        <f t="shared" si="3"/>
        <v>800</v>
      </c>
      <c r="H34" s="140">
        <f t="shared" si="4"/>
        <v>1440</v>
      </c>
      <c r="I34" s="140">
        <f t="shared" si="6"/>
        <v>1512</v>
      </c>
      <c r="J34" s="84"/>
      <c r="K34" s="29"/>
      <c r="L34" s="122"/>
      <c r="M34" s="122"/>
    </row>
    <row r="35" spans="1:13" s="132" customFormat="1" ht="12" customHeight="1" x14ac:dyDescent="0.3">
      <c r="A35" s="146" t="s">
        <v>121</v>
      </c>
      <c r="B35" s="71" t="str">
        <f>IF(A35="","",VLOOKUP(A35,'Database Lab+Equip'!$F:$I,2,FALSE))</f>
        <v xml:space="preserve">35t Excavator </v>
      </c>
      <c r="C35" s="150">
        <v>1</v>
      </c>
      <c r="D35" s="139">
        <v>1</v>
      </c>
      <c r="E35" s="140">
        <f>IF(A35="",0,VLOOKUP(A35,'Database Lab+Equip'!$F:$I,3,FALSE))</f>
        <v>730</v>
      </c>
      <c r="F35" s="140">
        <f>IF(A35="",0,VLOOKUP(A35,'Database Lab+Equip'!$F:$I,4,FALSE))</f>
        <v>1021.9999999999999</v>
      </c>
      <c r="G35" s="140">
        <f t="shared" si="3"/>
        <v>730</v>
      </c>
      <c r="H35" s="140">
        <f t="shared" si="4"/>
        <v>1021.9999999999999</v>
      </c>
      <c r="I35" s="140">
        <f t="shared" si="6"/>
        <v>1073.0999999999999</v>
      </c>
      <c r="J35" s="84"/>
      <c r="K35" s="29"/>
      <c r="L35" s="122"/>
      <c r="M35" s="122"/>
    </row>
    <row r="36" spans="1:13" s="132" customFormat="1" ht="12" customHeight="1" x14ac:dyDescent="0.3">
      <c r="A36" s="146"/>
      <c r="B36" s="71"/>
      <c r="C36" s="150"/>
      <c r="D36" s="139"/>
      <c r="E36" s="140">
        <f>IF(A36="",0,VLOOKUP(A36,'Database Lab+Equip'!$F:$I,3,FALSE))</f>
        <v>0</v>
      </c>
      <c r="F36" s="140">
        <f>IF(A36="",0,VLOOKUP(A36,'Database Lab+Equip'!$F:$I,4,FALSE))</f>
        <v>0</v>
      </c>
      <c r="G36" s="140">
        <f t="shared" si="3"/>
        <v>0</v>
      </c>
      <c r="H36" s="140">
        <f t="shared" si="4"/>
        <v>0</v>
      </c>
      <c r="I36" s="140">
        <f t="shared" si="6"/>
        <v>0</v>
      </c>
      <c r="J36" s="84"/>
      <c r="K36" s="29"/>
      <c r="L36" s="122"/>
      <c r="M36" s="122"/>
    </row>
    <row r="37" spans="1:13" s="132" customFormat="1" ht="12" customHeight="1" x14ac:dyDescent="0.3">
      <c r="A37" s="146" t="s">
        <v>122</v>
      </c>
      <c r="B37" s="71" t="str">
        <f>IF(A37="","",VLOOKUP(A37,'Database Lab+Equip'!$F:$I,2,FALSE))</f>
        <v xml:space="preserve">pipe donkey </v>
      </c>
      <c r="C37" s="150">
        <v>1</v>
      </c>
      <c r="D37" s="139">
        <v>1</v>
      </c>
      <c r="E37" s="140">
        <f>IF(A37="",0,VLOOKUP(A37,'Database Lab+Equip'!$F:$I,3,FALSE))</f>
        <v>100</v>
      </c>
      <c r="F37" s="140">
        <f>IF(A37="",0,VLOOKUP(A37,'Database Lab+Equip'!$F:$I,4,FALSE))</f>
        <v>180</v>
      </c>
      <c r="G37" s="140">
        <f t="shared" si="3"/>
        <v>100</v>
      </c>
      <c r="H37" s="140">
        <f t="shared" si="4"/>
        <v>180</v>
      </c>
      <c r="I37" s="140">
        <f t="shared" si="6"/>
        <v>189</v>
      </c>
      <c r="J37" s="84"/>
      <c r="K37" s="29"/>
      <c r="L37" s="122"/>
      <c r="M37" s="122"/>
    </row>
    <row r="38" spans="1:13" s="132" customFormat="1" ht="12" customHeight="1" x14ac:dyDescent="0.3">
      <c r="A38" s="146" t="s">
        <v>123</v>
      </c>
      <c r="B38" s="71" t="str">
        <f>IF(A38="","",VLOOKUP(A38,'Database Lab+Equip'!$F:$I,2,FALSE))</f>
        <v>plate compactor</v>
      </c>
      <c r="C38" s="150">
        <v>1</v>
      </c>
      <c r="D38" s="139">
        <v>1</v>
      </c>
      <c r="E38" s="140">
        <f>IF(A38="",0,VLOOKUP(A38,'Database Lab+Equip'!$F:$I,3,FALSE))</f>
        <v>150</v>
      </c>
      <c r="F38" s="140">
        <f>IF(A38="",0,VLOOKUP(A38,'Database Lab+Equip'!$F:$I,4,FALSE))</f>
        <v>270</v>
      </c>
      <c r="G38" s="140">
        <f t="shared" si="3"/>
        <v>150</v>
      </c>
      <c r="H38" s="140">
        <f t="shared" si="4"/>
        <v>270</v>
      </c>
      <c r="I38" s="140">
        <f t="shared" si="6"/>
        <v>283.5</v>
      </c>
      <c r="J38" s="84"/>
      <c r="K38" s="29"/>
      <c r="L38" s="122"/>
      <c r="M38" s="122"/>
    </row>
    <row r="39" spans="1:13" s="132" customFormat="1" ht="12" customHeight="1" x14ac:dyDescent="0.3">
      <c r="A39" s="146"/>
      <c r="B39" s="71" t="str">
        <f>IF(A39="","",VLOOKUP(A39,'Database Lab+Equip'!$F:$I,2,FALSE))</f>
        <v/>
      </c>
      <c r="C39" s="150"/>
      <c r="D39" s="139"/>
      <c r="E39" s="140">
        <f>IF(A39="",0,VLOOKUP(A39,'Database Lab+Equip'!$F:$I,3,FALSE))</f>
        <v>0</v>
      </c>
      <c r="F39" s="140">
        <f>IF(A39="",0,VLOOKUP(A39,'Database Lab+Equip'!$F:$I,4,FALSE))</f>
        <v>0</v>
      </c>
      <c r="G39" s="140">
        <f t="shared" si="3"/>
        <v>0</v>
      </c>
      <c r="H39" s="140">
        <f t="shared" si="4"/>
        <v>0</v>
      </c>
      <c r="I39" s="140">
        <f t="shared" si="6"/>
        <v>0</v>
      </c>
      <c r="J39" s="152" t="s">
        <v>108</v>
      </c>
      <c r="K39" s="153" t="s">
        <v>109</v>
      </c>
      <c r="L39" s="31"/>
    </row>
    <row r="40" spans="1:13" s="132" customFormat="1" ht="12" customHeight="1" x14ac:dyDescent="0.3">
      <c r="A40" s="72"/>
      <c r="B40" s="143"/>
      <c r="C40" s="130"/>
      <c r="D40" s="139"/>
      <c r="E40" s="140"/>
      <c r="F40" s="140"/>
      <c r="G40" s="21">
        <f>SUM(G25:G39)</f>
        <v>7834</v>
      </c>
      <c r="H40" s="21">
        <f>SUM(H25:H39)</f>
        <v>13191.2</v>
      </c>
      <c r="I40" s="21">
        <f>SUM(I25:I39)</f>
        <v>13850.76</v>
      </c>
      <c r="J40" s="21">
        <f>G40</f>
        <v>7834</v>
      </c>
      <c r="K40" s="34">
        <f>I40</f>
        <v>13850.76</v>
      </c>
      <c r="L40" s="160">
        <f>IF(J40=0,0,(K40-J40)/J40)</f>
        <v>0.76803165688026553</v>
      </c>
      <c r="M40" s="228">
        <f>SUM(I25:I39)-SUM(G25:G39)</f>
        <v>6016.76</v>
      </c>
    </row>
    <row r="41" spans="1:13" x14ac:dyDescent="0.3">
      <c r="A41" s="61"/>
      <c r="B41" s="73"/>
      <c r="C41" s="16"/>
      <c r="D41" s="15"/>
      <c r="E41" s="15"/>
      <c r="F41" s="15"/>
      <c r="G41" s="54"/>
      <c r="H41" s="54"/>
      <c r="I41" s="54"/>
      <c r="J41" s="54"/>
      <c r="K41" s="34"/>
      <c r="L41" s="45"/>
    </row>
    <row r="42" spans="1:13" ht="27.6" x14ac:dyDescent="0.3">
      <c r="A42" s="61"/>
      <c r="B42" s="65" t="s">
        <v>124</v>
      </c>
      <c r="C42" s="48" t="s">
        <v>47</v>
      </c>
      <c r="D42" s="48" t="s">
        <v>125</v>
      </c>
      <c r="E42" s="48" t="s">
        <v>98</v>
      </c>
      <c r="F42" s="48" t="s">
        <v>99</v>
      </c>
      <c r="G42" s="48" t="s">
        <v>22</v>
      </c>
      <c r="H42" s="49" t="s">
        <v>23</v>
      </c>
      <c r="I42" s="135" t="s">
        <v>100</v>
      </c>
      <c r="J42" s="54"/>
      <c r="K42" s="34"/>
      <c r="L42" s="45"/>
    </row>
    <row r="43" spans="1:13" x14ac:dyDescent="0.3">
      <c r="A43" s="61"/>
      <c r="B43" s="137" t="s">
        <v>126</v>
      </c>
      <c r="C43" s="139">
        <v>6</v>
      </c>
      <c r="D43" s="15">
        <v>1</v>
      </c>
      <c r="E43" s="139">
        <v>750</v>
      </c>
      <c r="F43" s="44">
        <f t="shared" ref="F43:F50" si="7">E43*1.4</f>
        <v>1050</v>
      </c>
      <c r="G43" s="44">
        <f t="shared" ref="G43:G50" si="8">C43*D43*E43</f>
        <v>4500</v>
      </c>
      <c r="H43" s="44">
        <f t="shared" ref="H43:H50" si="9">C43*D43*F43</f>
        <v>6300</v>
      </c>
      <c r="I43" s="343">
        <f>(H43*$M$7)+H43</f>
        <v>6615</v>
      </c>
      <c r="J43" s="54"/>
      <c r="K43" s="34"/>
      <c r="L43" s="45"/>
    </row>
    <row r="44" spans="1:13" x14ac:dyDescent="0.3">
      <c r="B44" s="141" t="s">
        <v>127</v>
      </c>
      <c r="C44" s="142">
        <v>1</v>
      </c>
      <c r="D44" s="15">
        <v>1</v>
      </c>
      <c r="E44" s="142">
        <v>1200</v>
      </c>
      <c r="F44" s="44">
        <f t="shared" si="7"/>
        <v>1680</v>
      </c>
      <c r="G44" s="44">
        <f t="shared" si="8"/>
        <v>1200</v>
      </c>
      <c r="H44" s="44">
        <f t="shared" si="9"/>
        <v>1680</v>
      </c>
      <c r="I44" s="343">
        <f t="shared" ref="I44:I51" si="10">(H44*$M$7)+H44</f>
        <v>1764</v>
      </c>
      <c r="J44" s="26"/>
      <c r="K44" s="26"/>
      <c r="L44" s="45"/>
    </row>
    <row r="45" spans="1:13" x14ac:dyDescent="0.3">
      <c r="B45" s="141" t="s">
        <v>128</v>
      </c>
      <c r="C45" s="142">
        <v>1</v>
      </c>
      <c r="D45" s="15">
        <v>1</v>
      </c>
      <c r="E45" s="142">
        <v>5500</v>
      </c>
      <c r="F45" s="44">
        <f t="shared" si="7"/>
        <v>7699.9999999999991</v>
      </c>
      <c r="G45" s="44">
        <f t="shared" si="8"/>
        <v>5500</v>
      </c>
      <c r="H45" s="44">
        <f t="shared" si="9"/>
        <v>7699.9999999999991</v>
      </c>
      <c r="I45" s="343">
        <f t="shared" si="10"/>
        <v>8084.9999999999991</v>
      </c>
      <c r="J45" s="26"/>
      <c r="K45" s="26"/>
      <c r="L45" s="45"/>
    </row>
    <row r="46" spans="1:13" x14ac:dyDescent="0.3">
      <c r="B46" s="141" t="s">
        <v>129</v>
      </c>
      <c r="C46" s="142">
        <v>6</v>
      </c>
      <c r="D46" s="15">
        <v>1</v>
      </c>
      <c r="E46" s="346">
        <v>60</v>
      </c>
      <c r="F46" s="44">
        <f t="shared" si="7"/>
        <v>84</v>
      </c>
      <c r="G46" s="44">
        <f t="shared" si="8"/>
        <v>360</v>
      </c>
      <c r="H46" s="44">
        <f t="shared" si="9"/>
        <v>504</v>
      </c>
      <c r="I46" s="343">
        <f t="shared" si="10"/>
        <v>529.20000000000005</v>
      </c>
      <c r="J46" s="26"/>
      <c r="K46" s="26"/>
      <c r="L46" s="45"/>
    </row>
    <row r="47" spans="1:13" x14ac:dyDescent="0.3">
      <c r="B47" s="141" t="s">
        <v>130</v>
      </c>
      <c r="C47" s="142">
        <v>2</v>
      </c>
      <c r="D47" s="15">
        <v>1</v>
      </c>
      <c r="E47" s="142">
        <v>9660</v>
      </c>
      <c r="F47" s="44">
        <f t="shared" si="7"/>
        <v>13524</v>
      </c>
      <c r="G47" s="44">
        <f t="shared" si="8"/>
        <v>19320</v>
      </c>
      <c r="H47" s="44">
        <f t="shared" si="9"/>
        <v>27048</v>
      </c>
      <c r="I47" s="343">
        <f t="shared" si="10"/>
        <v>28400.400000000001</v>
      </c>
      <c r="J47" s="26"/>
      <c r="K47" s="26"/>
      <c r="L47" s="45"/>
    </row>
    <row r="48" spans="1:13" x14ac:dyDescent="0.3">
      <c r="B48" s="141"/>
      <c r="C48" s="142"/>
      <c r="D48" s="15">
        <v>1</v>
      </c>
      <c r="E48" s="142"/>
      <c r="F48" s="44">
        <f t="shared" si="7"/>
        <v>0</v>
      </c>
      <c r="G48" s="44">
        <f t="shared" si="8"/>
        <v>0</v>
      </c>
      <c r="H48" s="44">
        <f t="shared" si="9"/>
        <v>0</v>
      </c>
      <c r="I48" s="343">
        <f t="shared" si="10"/>
        <v>0</v>
      </c>
      <c r="J48" s="26"/>
      <c r="K48" s="26"/>
      <c r="L48" s="45"/>
    </row>
    <row r="49" spans="1:13" x14ac:dyDescent="0.3">
      <c r="B49" s="141"/>
      <c r="C49" s="142"/>
      <c r="D49" s="15">
        <v>1</v>
      </c>
      <c r="E49" s="142"/>
      <c r="F49" s="44">
        <f t="shared" si="7"/>
        <v>0</v>
      </c>
      <c r="G49" s="44">
        <f t="shared" si="8"/>
        <v>0</v>
      </c>
      <c r="H49" s="44">
        <f t="shared" si="9"/>
        <v>0</v>
      </c>
      <c r="I49" s="343">
        <f t="shared" si="10"/>
        <v>0</v>
      </c>
      <c r="J49" s="31"/>
    </row>
    <row r="50" spans="1:13" x14ac:dyDescent="0.3">
      <c r="B50" s="167"/>
      <c r="C50" s="150"/>
      <c r="D50" s="15">
        <v>1</v>
      </c>
      <c r="E50" s="150"/>
      <c r="F50" s="44">
        <f t="shared" si="7"/>
        <v>0</v>
      </c>
      <c r="G50" s="44">
        <f t="shared" si="8"/>
        <v>0</v>
      </c>
      <c r="H50" s="44">
        <f t="shared" si="9"/>
        <v>0</v>
      </c>
      <c r="I50" s="343">
        <f t="shared" si="10"/>
        <v>0</v>
      </c>
      <c r="J50" s="56" t="s">
        <v>108</v>
      </c>
      <c r="K50" s="55" t="s">
        <v>109</v>
      </c>
      <c r="L50" s="168"/>
    </row>
    <row r="51" spans="1:13" x14ac:dyDescent="0.3">
      <c r="B51"/>
      <c r="C51"/>
      <c r="D51"/>
      <c r="E51"/>
      <c r="F51"/>
      <c r="G51" s="21">
        <f>SUM(G43:G50)</f>
        <v>30880</v>
      </c>
      <c r="H51" s="21">
        <f>SUM(H43:H50)</f>
        <v>43232</v>
      </c>
      <c r="I51" s="169">
        <f t="shared" si="10"/>
        <v>45393.599999999999</v>
      </c>
      <c r="J51" s="21">
        <f>G51</f>
        <v>30880</v>
      </c>
      <c r="K51" s="34">
        <f>I51</f>
        <v>45393.599999999999</v>
      </c>
      <c r="L51" s="163">
        <f>IF(J51=0,0,(K51-J51)/K51)</f>
        <v>0.31972789115646255</v>
      </c>
      <c r="M51" s="229">
        <f>SUM(H43:H50)-SUM(G43:G50)</f>
        <v>12352</v>
      </c>
    </row>
    <row r="52" spans="1:13" x14ac:dyDescent="0.3">
      <c r="A52" s="110"/>
      <c r="B52" s="115"/>
      <c r="C52" s="116"/>
      <c r="D52" s="117"/>
      <c r="E52" s="117"/>
      <c r="F52" s="117"/>
      <c r="G52" s="118"/>
      <c r="H52" s="110"/>
      <c r="I52" s="161"/>
      <c r="J52" s="162">
        <f>J22+J40+J51</f>
        <v>48374</v>
      </c>
      <c r="K52" s="162">
        <f>K22+K40+K51</f>
        <v>73444.56</v>
      </c>
      <c r="L52" s="119">
        <f>IF(J52=0,0,(K52-J52)/K52)</f>
        <v>0.34135353251486561</v>
      </c>
      <c r="M52" s="230">
        <f>M22+M40</f>
        <v>10556.959999999997</v>
      </c>
    </row>
    <row r="53" spans="1:13" x14ac:dyDescent="0.3">
      <c r="B53" s="73"/>
      <c r="C53" s="16"/>
      <c r="D53" s="15"/>
      <c r="E53" s="15"/>
      <c r="F53" s="15"/>
      <c r="G53" s="54"/>
      <c r="J53" s="21"/>
      <c r="K53" s="21"/>
      <c r="L53" s="209"/>
      <c r="M53" s="208"/>
    </row>
    <row r="54" spans="1:13" ht="15.6" x14ac:dyDescent="0.3">
      <c r="A54" s="61"/>
      <c r="B54" s="46" t="s">
        <v>131</v>
      </c>
      <c r="C54" s="85"/>
      <c r="D54" s="85"/>
      <c r="E54" s="85"/>
      <c r="F54" s="60"/>
      <c r="G54" s="15"/>
      <c r="H54" s="15"/>
      <c r="I54" s="15"/>
      <c r="J54" s="17"/>
      <c r="K54" s="20"/>
      <c r="L54" s="93" t="s">
        <v>85</v>
      </c>
      <c r="M54" s="94"/>
    </row>
    <row r="55" spans="1:13" x14ac:dyDescent="0.3">
      <c r="A55" s="61"/>
      <c r="B55" s="24" t="s">
        <v>86</v>
      </c>
      <c r="C55" s="22"/>
      <c r="D55" s="128" t="s">
        <v>87</v>
      </c>
      <c r="E55" s="23"/>
      <c r="F55" s="175"/>
      <c r="G55" s="15"/>
      <c r="H55" s="15"/>
      <c r="I55" s="15"/>
      <c r="J55" s="17"/>
      <c r="K55" s="21"/>
      <c r="L55" s="126" t="s">
        <v>88</v>
      </c>
      <c r="M55" s="127"/>
    </row>
    <row r="56" spans="1:13" x14ac:dyDescent="0.3">
      <c r="A56" s="61"/>
      <c r="B56" s="24"/>
      <c r="C56" s="25"/>
      <c r="D56" s="128" t="s">
        <v>89</v>
      </c>
      <c r="E56" s="23"/>
      <c r="G56" s="17"/>
      <c r="H56" s="17"/>
      <c r="I56" s="17"/>
      <c r="J56" s="26"/>
      <c r="K56" s="26"/>
      <c r="L56" s="126" t="s">
        <v>90</v>
      </c>
      <c r="M56" s="127"/>
    </row>
    <row r="57" spans="1:13" x14ac:dyDescent="0.3">
      <c r="A57" s="61"/>
      <c r="B57" s="24"/>
      <c r="C57" s="27" t="str">
        <f>IF(C302="","",IF(E304="","",C302/E304+C303))</f>
        <v/>
      </c>
      <c r="D57" s="128" t="s">
        <v>91</v>
      </c>
      <c r="E57" s="23"/>
      <c r="G57" s="17"/>
      <c r="H57" s="17"/>
      <c r="I57" s="17"/>
      <c r="J57" s="26"/>
      <c r="K57" s="26"/>
      <c r="L57" s="126" t="s">
        <v>92</v>
      </c>
      <c r="M57" s="127"/>
    </row>
    <row r="58" spans="1:13" ht="15.6" x14ac:dyDescent="0.3">
      <c r="A58" s="61"/>
      <c r="B58" s="59" t="s">
        <v>93</v>
      </c>
      <c r="C58" s="25"/>
      <c r="D58" s="128" t="s">
        <v>25</v>
      </c>
      <c r="E58" s="128">
        <f>SUM(C63:C74)</f>
        <v>6</v>
      </c>
      <c r="H58" s="17"/>
      <c r="I58" s="17"/>
      <c r="J58" s="26"/>
      <c r="K58" s="26"/>
      <c r="L58" s="93" t="s">
        <v>94</v>
      </c>
      <c r="M58" s="94"/>
    </row>
    <row r="59" spans="1:13" x14ac:dyDescent="0.3">
      <c r="A59" s="61"/>
      <c r="B59" s="59" t="s">
        <v>95</v>
      </c>
      <c r="C59" s="25"/>
      <c r="D59" s="128" t="s">
        <v>44</v>
      </c>
      <c r="E59" s="244">
        <v>1</v>
      </c>
      <c r="H59" s="17"/>
      <c r="I59" s="17"/>
      <c r="J59" s="26"/>
      <c r="K59" s="26"/>
      <c r="L59" s="57" t="s">
        <v>70</v>
      </c>
      <c r="M59" s="58">
        <f>M6</f>
        <v>0.05</v>
      </c>
    </row>
    <row r="60" spans="1:13" x14ac:dyDescent="0.3">
      <c r="A60" s="61"/>
      <c r="B60" s="28"/>
      <c r="C60" s="28"/>
      <c r="D60" s="28"/>
      <c r="E60" s="28"/>
      <c r="H60" s="28"/>
      <c r="I60" s="28"/>
      <c r="J60" s="28"/>
      <c r="K60" s="18"/>
      <c r="L60" s="57" t="s">
        <v>80</v>
      </c>
      <c r="M60" s="58">
        <f>M7</f>
        <v>0.05</v>
      </c>
    </row>
    <row r="61" spans="1:13" x14ac:dyDescent="0.3">
      <c r="A61" s="61"/>
      <c r="B61" s="28"/>
      <c r="C61" s="28"/>
      <c r="D61" s="28"/>
      <c r="E61" s="28"/>
      <c r="H61" s="28"/>
      <c r="I61" s="28"/>
      <c r="J61" s="28"/>
      <c r="K61" s="18"/>
    </row>
    <row r="62" spans="1:13" ht="27.6" x14ac:dyDescent="0.3">
      <c r="A62" s="47" t="s">
        <v>96</v>
      </c>
      <c r="B62" s="47" t="s">
        <v>70</v>
      </c>
      <c r="C62" s="48" t="s">
        <v>47</v>
      </c>
      <c r="D62" s="48" t="s">
        <v>73</v>
      </c>
      <c r="E62" s="48" t="s">
        <v>98</v>
      </c>
      <c r="F62" s="48" t="s">
        <v>99</v>
      </c>
      <c r="G62" s="48" t="s">
        <v>22</v>
      </c>
      <c r="H62" s="49" t="s">
        <v>23</v>
      </c>
      <c r="I62" s="50" t="s">
        <v>100</v>
      </c>
      <c r="J62" s="51"/>
      <c r="K62" s="52"/>
      <c r="L62" s="48" t="s">
        <v>101</v>
      </c>
    </row>
    <row r="63" spans="1:13" x14ac:dyDescent="0.3">
      <c r="A63" s="137" t="s">
        <v>102</v>
      </c>
      <c r="B63" s="138" t="str">
        <f>IF(A63="","",VLOOKUP(A63,'Database Lab+Equip'!$A:$D,2,FALSE))</f>
        <v>Supervisor</v>
      </c>
      <c r="C63" s="139">
        <v>1</v>
      </c>
      <c r="D63" s="139">
        <v>12</v>
      </c>
      <c r="E63" s="140">
        <f>IF(A63="",0,VLOOKUP(A63,'Database Lab+Equip'!$A:$D,3,FALSE))</f>
        <v>100</v>
      </c>
      <c r="F63" s="140">
        <f>IF(A63="",0,VLOOKUP(A63,'Database Lab+Equip'!$A:$D,4,FALSE))</f>
        <v>140</v>
      </c>
      <c r="G63" s="140">
        <f>IF(A63="",0,C63*D63*E63*E$59)</f>
        <v>1200</v>
      </c>
      <c r="H63" s="140">
        <f>IF(A63="",0,C63*D63*F63*E$59)</f>
        <v>1680</v>
      </c>
      <c r="I63" s="140">
        <f>(H63*$M$59)+H63</f>
        <v>1764</v>
      </c>
      <c r="J63" s="84"/>
      <c r="K63" s="29"/>
      <c r="L63" s="122"/>
      <c r="M63" s="84"/>
    </row>
    <row r="64" spans="1:13" x14ac:dyDescent="0.3">
      <c r="A64" s="137" t="s">
        <v>103</v>
      </c>
      <c r="B64" s="31" t="s">
        <v>104</v>
      </c>
      <c r="C64" s="142">
        <v>2</v>
      </c>
      <c r="D64" s="142">
        <v>12</v>
      </c>
      <c r="E64" s="140">
        <f>IF(A64="",0,VLOOKUP(A64,'Database Lab+Equip'!$A:$D,3,FALSE))</f>
        <v>90</v>
      </c>
      <c r="F64" s="140">
        <f>IF(A64="",0,VLOOKUP(A64,'Database Lab+Equip'!$A:$D,4,FALSE))</f>
        <v>125.99999999999999</v>
      </c>
      <c r="G64" s="140">
        <f>IF(A64="",0,C64*D64*E64*E$59)</f>
        <v>2160</v>
      </c>
      <c r="H64" s="140">
        <f>IF(A64="",0,C64*D64*F64*E$59)</f>
        <v>3023.9999999999995</v>
      </c>
      <c r="I64" s="140">
        <f>(H64*$M$59)+H64</f>
        <v>3175.1999999999994</v>
      </c>
      <c r="J64" s="84"/>
      <c r="K64" s="29"/>
      <c r="L64" s="122"/>
      <c r="M64" s="122"/>
    </row>
    <row r="65" spans="1:13" x14ac:dyDescent="0.3">
      <c r="A65" s="137" t="s">
        <v>105</v>
      </c>
      <c r="B65" s="138" t="str">
        <f>IF(A65="","",VLOOKUP(A65,'Database Lab+Equip'!$A:$D,2,FALSE))</f>
        <v>Operator</v>
      </c>
      <c r="C65" s="142">
        <v>2</v>
      </c>
      <c r="D65" s="142">
        <v>12</v>
      </c>
      <c r="E65" s="140">
        <f>IF(A65="",0,VLOOKUP(A65,'Database Lab+Equip'!$A:$D,3,FALSE))</f>
        <v>90</v>
      </c>
      <c r="F65" s="140">
        <f>IF(A65="",0,VLOOKUP(A65,'Database Lab+Equip'!$A:$D,4,FALSE))</f>
        <v>125.99999999999999</v>
      </c>
      <c r="G65" s="140">
        <f>IF(A65="",0,C65*D65*E65*E$59)</f>
        <v>2160</v>
      </c>
      <c r="H65" s="140">
        <f>IF(A65="",0,C65*D65*F65*E$59)</f>
        <v>3023.9999999999995</v>
      </c>
      <c r="I65" s="140">
        <f>(H65*$M$59)+H65</f>
        <v>3175.1999999999994</v>
      </c>
      <c r="J65" s="84"/>
      <c r="K65" s="29"/>
      <c r="L65" s="122"/>
      <c r="M65" s="122"/>
    </row>
    <row r="66" spans="1:13" x14ac:dyDescent="0.3">
      <c r="A66" s="137" t="s">
        <v>106</v>
      </c>
      <c r="B66" s="138" t="str">
        <f>IF(A66="","",VLOOKUP(A66,'Database Lab+Equip'!$A:$D,2,FALSE))</f>
        <v>Trades Assistant</v>
      </c>
      <c r="C66" s="142">
        <v>1</v>
      </c>
      <c r="D66" s="142">
        <v>12</v>
      </c>
      <c r="E66" s="140">
        <f>IF(A66="",0,VLOOKUP(A66,'Database Lab+Equip'!$A:$D,3,FALSE))</f>
        <v>85</v>
      </c>
      <c r="F66" s="140">
        <f>IF(A66="",0,VLOOKUP(A66,'Database Lab+Equip'!$A:$D,4,FALSE))</f>
        <v>118.99999999999999</v>
      </c>
      <c r="G66" s="140">
        <f>IF(A66="",0,C66*D66*E66*E$59)</f>
        <v>1020</v>
      </c>
      <c r="H66" s="140">
        <f>IF(A66="",0,C66*D66*F66*E$59)</f>
        <v>1427.9999999999998</v>
      </c>
      <c r="I66" s="140">
        <f>(H66*$M$59)+H66</f>
        <v>1499.3999999999999</v>
      </c>
      <c r="J66" s="84"/>
      <c r="K66" s="29"/>
      <c r="L66" s="122"/>
      <c r="M66" s="122"/>
    </row>
    <row r="67" spans="1:13" x14ac:dyDescent="0.3">
      <c r="A67" s="137"/>
      <c r="B67" s="138" t="str">
        <f>IF(A67="","",VLOOKUP(A67,'Database Lab+Equip'!$A:$D,2,FALSE))</f>
        <v/>
      </c>
      <c r="C67" s="142"/>
      <c r="D67" s="142"/>
      <c r="E67" s="140">
        <f>IF(A67="",0,VLOOKUP(A67,'Database Lab+Equip'!$A:$D,3,FALSE))</f>
        <v>0</v>
      </c>
      <c r="F67" s="140">
        <f>IF(A67="",0,VLOOKUP(A67,'Database Lab+Equip'!$A:$D,4,FALSE))</f>
        <v>0</v>
      </c>
      <c r="G67" s="140">
        <f t="shared" ref="G67:G73" si="11">IF(A67="",0,C67*D67*E67*E$59)</f>
        <v>0</v>
      </c>
      <c r="H67" s="140">
        <f t="shared" ref="H67:H73" si="12">IF(A67="",0,C67*D67*F67*E$59)</f>
        <v>0</v>
      </c>
      <c r="I67" s="140">
        <f t="shared" ref="I67:I73" si="13">(H67*$M$59)+H67</f>
        <v>0</v>
      </c>
      <c r="J67" s="84"/>
      <c r="K67" s="29"/>
      <c r="L67" s="122"/>
      <c r="M67" s="122"/>
    </row>
    <row r="68" spans="1:13" x14ac:dyDescent="0.3">
      <c r="A68" s="137"/>
      <c r="B68" s="138" t="str">
        <f>IF(A68="","",VLOOKUP(A68,'Database Lab+Equip'!$A:$D,2,FALSE))</f>
        <v/>
      </c>
      <c r="C68" s="142"/>
      <c r="D68" s="142"/>
      <c r="E68" s="140">
        <f>IF(A68="",0,VLOOKUP(A68,'Database Lab+Equip'!$A:$D,3,FALSE))</f>
        <v>0</v>
      </c>
      <c r="F68" s="140">
        <f>IF(A68="",0,VLOOKUP(A68,'Database Lab+Equip'!$A:$D,4,FALSE))</f>
        <v>0</v>
      </c>
      <c r="G68" s="140">
        <f t="shared" si="11"/>
        <v>0</v>
      </c>
      <c r="H68" s="140">
        <f t="shared" si="12"/>
        <v>0</v>
      </c>
      <c r="I68" s="140">
        <f t="shared" si="13"/>
        <v>0</v>
      </c>
      <c r="J68" s="84"/>
      <c r="K68" s="29"/>
      <c r="L68" s="122"/>
      <c r="M68" s="122"/>
    </row>
    <row r="69" spans="1:13" x14ac:dyDescent="0.3">
      <c r="A69" s="137"/>
      <c r="B69" s="138" t="str">
        <f>IF(A69="","",VLOOKUP(A69,'Database Lab+Equip'!$A:$D,2,FALSE))</f>
        <v/>
      </c>
      <c r="C69" s="142"/>
      <c r="D69" s="142"/>
      <c r="E69" s="140">
        <f>IF(A69="",0,VLOOKUP(A69,'Database Lab+Equip'!$A:$D,3,FALSE))</f>
        <v>0</v>
      </c>
      <c r="F69" s="140">
        <f>IF(A69="",0,VLOOKUP(A69,'Database Lab+Equip'!$A:$D,4,FALSE))</f>
        <v>0</v>
      </c>
      <c r="G69" s="140">
        <f t="shared" si="11"/>
        <v>0</v>
      </c>
      <c r="H69" s="140">
        <f t="shared" si="12"/>
        <v>0</v>
      </c>
      <c r="I69" s="140">
        <f t="shared" si="13"/>
        <v>0</v>
      </c>
      <c r="J69" s="84"/>
      <c r="K69" s="29"/>
      <c r="L69" s="122"/>
      <c r="M69" s="122"/>
    </row>
    <row r="70" spans="1:13" x14ac:dyDescent="0.3">
      <c r="A70" s="137"/>
      <c r="B70" s="138" t="str">
        <f>IF(A70="","",VLOOKUP(A70,'Database Lab+Equip'!$A:$D,2,FALSE))</f>
        <v/>
      </c>
      <c r="C70" s="142"/>
      <c r="D70" s="142"/>
      <c r="E70" s="140">
        <f>IF(A70="",0,VLOOKUP(A70,'Database Lab+Equip'!$A:$D,3,FALSE))</f>
        <v>0</v>
      </c>
      <c r="F70" s="140">
        <f>IF(A70="",0,VLOOKUP(A70,'Database Lab+Equip'!$A:$D,4,FALSE))</f>
        <v>0</v>
      </c>
      <c r="G70" s="140">
        <f t="shared" si="11"/>
        <v>0</v>
      </c>
      <c r="H70" s="140">
        <f t="shared" si="12"/>
        <v>0</v>
      </c>
      <c r="I70" s="140">
        <f t="shared" si="13"/>
        <v>0</v>
      </c>
      <c r="J70" s="84"/>
      <c r="K70" s="29"/>
      <c r="L70" s="122"/>
      <c r="M70" s="122"/>
    </row>
    <row r="71" spans="1:13" x14ac:dyDescent="0.3">
      <c r="A71" s="137"/>
      <c r="B71" s="138" t="str">
        <f>IF(A71="","",VLOOKUP(A71,'Database Lab+Equip'!$A:$D,2,FALSE))</f>
        <v/>
      </c>
      <c r="C71" s="142"/>
      <c r="D71" s="142"/>
      <c r="E71" s="140">
        <f>IF(A71="",0,VLOOKUP(A71,'Database Lab+Equip'!$A:$D,3,FALSE))</f>
        <v>0</v>
      </c>
      <c r="F71" s="140">
        <f>IF(A71="",0,VLOOKUP(A71,'Database Lab+Equip'!$A:$D,4,FALSE))</f>
        <v>0</v>
      </c>
      <c r="G71" s="140">
        <f t="shared" si="11"/>
        <v>0</v>
      </c>
      <c r="H71" s="140">
        <f t="shared" si="12"/>
        <v>0</v>
      </c>
      <c r="I71" s="140">
        <f t="shared" si="13"/>
        <v>0</v>
      </c>
      <c r="J71" s="84"/>
      <c r="K71" s="29"/>
      <c r="L71" s="122"/>
      <c r="M71" s="122"/>
    </row>
    <row r="72" spans="1:13" x14ac:dyDescent="0.3">
      <c r="A72" s="137"/>
      <c r="B72" s="138" t="str">
        <f>IF(A72="","",VLOOKUP(A72,'Database Lab+Equip'!$A:$D,2,FALSE))</f>
        <v/>
      </c>
      <c r="C72" s="142"/>
      <c r="D72" s="142"/>
      <c r="E72" s="140">
        <f>IF(A72="",0,VLOOKUP(A72,'Database Lab+Equip'!$A:$D,3,FALSE))</f>
        <v>0</v>
      </c>
      <c r="F72" s="140">
        <f>IF(A72="",0,VLOOKUP(A72,'Database Lab+Equip'!$A:$D,4,FALSE))</f>
        <v>0</v>
      </c>
      <c r="G72" s="140">
        <f t="shared" si="11"/>
        <v>0</v>
      </c>
      <c r="H72" s="140">
        <f t="shared" si="12"/>
        <v>0</v>
      </c>
      <c r="I72" s="140">
        <f t="shared" si="13"/>
        <v>0</v>
      </c>
      <c r="J72" s="84"/>
      <c r="K72" s="29"/>
      <c r="L72" s="122"/>
      <c r="M72" s="122"/>
    </row>
    <row r="73" spans="1:13" x14ac:dyDescent="0.3">
      <c r="A73" s="137"/>
      <c r="B73" s="138" t="str">
        <f>IF(A73="","",VLOOKUP(A73,'Database Lab+Equip'!$A:$D,2,FALSE))</f>
        <v/>
      </c>
      <c r="C73" s="142"/>
      <c r="D73" s="142"/>
      <c r="E73" s="140">
        <f>IF(A73="",0,VLOOKUP(A73,'Database Lab+Equip'!$A:$D,3,FALSE))</f>
        <v>0</v>
      </c>
      <c r="F73" s="140">
        <f>IF(A73="",0,VLOOKUP(A73,'Database Lab+Equip'!$A:$D,4,FALSE))</f>
        <v>0</v>
      </c>
      <c r="G73" s="140">
        <f t="shared" si="11"/>
        <v>0</v>
      </c>
      <c r="H73" s="140">
        <f t="shared" si="12"/>
        <v>0</v>
      </c>
      <c r="I73" s="140">
        <f t="shared" si="13"/>
        <v>0</v>
      </c>
      <c r="J73" s="84"/>
      <c r="K73" s="29"/>
      <c r="L73" s="122"/>
      <c r="M73" s="122"/>
    </row>
    <row r="74" spans="1:13" x14ac:dyDescent="0.3">
      <c r="A74" s="137"/>
      <c r="B74" s="138" t="str">
        <f>IF(A74="","",VLOOKUP(A74,'Database Lab+Equip'!$A:$D,2,FALSE))</f>
        <v/>
      </c>
      <c r="C74" s="142"/>
      <c r="D74" s="142"/>
      <c r="E74" s="140">
        <f>IF(A74="",0,VLOOKUP(A74,'Database Lab+Equip'!$A:$D,3,FALSE))</f>
        <v>0</v>
      </c>
      <c r="F74" s="140">
        <f>IF(A74="",0,VLOOKUP(A74,'Database Lab+Equip'!$A:$D,4,FALSE))</f>
        <v>0</v>
      </c>
      <c r="G74" s="140">
        <f>IF(A74="",0,C74*D74*E74*E$59)</f>
        <v>0</v>
      </c>
      <c r="H74" s="140">
        <f>IF(A74="",0,C74*D74*F74*E$59)</f>
        <v>0</v>
      </c>
      <c r="I74" s="140">
        <f>(H74*$M$59)+H74</f>
        <v>0</v>
      </c>
      <c r="J74" s="152" t="s">
        <v>108</v>
      </c>
      <c r="K74" s="153" t="s">
        <v>109</v>
      </c>
      <c r="M74" s="132"/>
    </row>
    <row r="75" spans="1:13" x14ac:dyDescent="0.3">
      <c r="A75" s="35"/>
      <c r="B75" s="44"/>
      <c r="C75" s="44"/>
      <c r="D75" s="44"/>
      <c r="E75" s="140"/>
      <c r="F75" s="140"/>
      <c r="G75" s="21">
        <f>SUM(G63:G74)</f>
        <v>6540</v>
      </c>
      <c r="H75" s="21">
        <f>SUM(H63:H74)</f>
        <v>9156</v>
      </c>
      <c r="I75" s="21">
        <f>SUM(I63:I74)</f>
        <v>9613.7999999999975</v>
      </c>
      <c r="J75" s="21">
        <f>G75</f>
        <v>6540</v>
      </c>
      <c r="K75" s="34">
        <f>I75</f>
        <v>9613.7999999999975</v>
      </c>
      <c r="L75" s="154">
        <f>IF(J75=0,0,(K75-J75)/J75)</f>
        <v>0.46999999999999958</v>
      </c>
      <c r="M75" s="231">
        <f>SUM(I63:I74)-SUM(G63:G74)</f>
        <v>3073.7999999999975</v>
      </c>
    </row>
    <row r="76" spans="1:13" x14ac:dyDescent="0.3">
      <c r="A76" s="35"/>
      <c r="B76" s="73"/>
      <c r="C76" s="15"/>
      <c r="D76" s="15"/>
      <c r="E76" s="15"/>
      <c r="F76" s="15"/>
      <c r="G76" s="15"/>
      <c r="H76" s="15"/>
      <c r="I76" s="19"/>
      <c r="J76" s="84"/>
      <c r="K76" s="29"/>
      <c r="L76" s="122"/>
      <c r="M76" s="122"/>
    </row>
    <row r="77" spans="1:13" ht="27.6" x14ac:dyDescent="0.3">
      <c r="A77" s="47" t="s">
        <v>96</v>
      </c>
      <c r="B77" s="53" t="s">
        <v>80</v>
      </c>
      <c r="C77" s="48" t="s">
        <v>47</v>
      </c>
      <c r="D77" s="48" t="s">
        <v>24</v>
      </c>
      <c r="E77" s="48" t="s">
        <v>98</v>
      </c>
      <c r="F77" s="48" t="s">
        <v>99</v>
      </c>
      <c r="G77" s="48" t="s">
        <v>22</v>
      </c>
      <c r="H77" s="49" t="s">
        <v>23</v>
      </c>
      <c r="I77" s="50" t="s">
        <v>100</v>
      </c>
      <c r="J77" s="145"/>
      <c r="K77" s="48"/>
      <c r="L77" s="124"/>
      <c r="M77" s="124"/>
    </row>
    <row r="78" spans="1:13" x14ac:dyDescent="0.3">
      <c r="A78" s="146" t="s">
        <v>111</v>
      </c>
      <c r="B78" s="71" t="str">
        <f>IF(A78="","",VLOOKUP(A78,'Database Lab+Equip'!$F:$I,2,FALSE))</f>
        <v>Light 4WD Vehicle - D/Cab Ute</v>
      </c>
      <c r="C78" s="139">
        <v>3</v>
      </c>
      <c r="D78" s="139">
        <v>1</v>
      </c>
      <c r="E78" s="140">
        <f>IF(A78="",0,VLOOKUP(A78,'Database Lab+Equip'!$F:$I,3,FALSE))</f>
        <v>120</v>
      </c>
      <c r="F78" s="140">
        <f>IF(A78="",0,VLOOKUP(A78,'Database Lab+Equip'!$F:$I,4,FALSE))</f>
        <v>216</v>
      </c>
      <c r="G78" s="140">
        <f t="shared" ref="G78:G93" si="14">IF(A78="",0,C78*D78*E78*E$59)</f>
        <v>360</v>
      </c>
      <c r="H78" s="140">
        <f t="shared" ref="H78:H83" si="15">IF(A78="",0,C78*D78*F78*E$59)</f>
        <v>648</v>
      </c>
      <c r="I78" s="140">
        <f t="shared" ref="I78:I93" si="16">(H78*$M$60)+H78</f>
        <v>680.4</v>
      </c>
      <c r="J78" s="84"/>
      <c r="K78" s="29"/>
      <c r="L78" s="122"/>
      <c r="M78" s="84"/>
    </row>
    <row r="79" spans="1:13" x14ac:dyDescent="0.3">
      <c r="A79" s="146" t="s">
        <v>112</v>
      </c>
      <c r="B79" s="71" t="str">
        <f>IF(A79="","",VLOOKUP(A79,'Database Lab+Equip'!$F:$I,2,FALSE))</f>
        <v>Trailer Fuel 2,000L Tandem Axle</v>
      </c>
      <c r="C79" s="142">
        <v>1</v>
      </c>
      <c r="D79" s="139">
        <v>1</v>
      </c>
      <c r="E79" s="140">
        <f>IF(A79="",0,VLOOKUP(A79,'Database Lab+Equip'!$F:$I,3,FALSE))</f>
        <v>145</v>
      </c>
      <c r="F79" s="140">
        <f>IF(A79="",0,VLOOKUP(A79,'Database Lab+Equip'!$F:$I,4,FALSE))</f>
        <v>203</v>
      </c>
      <c r="G79" s="140">
        <f t="shared" si="14"/>
        <v>145</v>
      </c>
      <c r="H79" s="140">
        <f t="shared" si="15"/>
        <v>203</v>
      </c>
      <c r="I79" s="140">
        <f t="shared" si="16"/>
        <v>213.15</v>
      </c>
      <c r="J79" s="122"/>
      <c r="K79" s="29"/>
      <c r="L79" s="122"/>
      <c r="M79" s="122"/>
    </row>
    <row r="80" spans="1:13" x14ac:dyDescent="0.3">
      <c r="A80" s="146" t="s">
        <v>113</v>
      </c>
      <c r="B80" s="71" t="str">
        <f>IF(A80="","",VLOOKUP(A80,'Database Lab+Equip'!$F:$I,2,FALSE))</f>
        <v>Shindawa 15kVa Diesel Genset/Welder</v>
      </c>
      <c r="C80" s="142">
        <v>1</v>
      </c>
      <c r="D80" s="139">
        <v>1</v>
      </c>
      <c r="E80" s="140">
        <f>IF(A80="",0,VLOOKUP(A80,'Database Lab+Equip'!$F:$I,3,FALSE))</f>
        <v>35</v>
      </c>
      <c r="F80" s="140">
        <f>IF(A80="",0,VLOOKUP(A80,'Database Lab+Equip'!$F:$I,4,FALSE))</f>
        <v>63</v>
      </c>
      <c r="G80" s="140">
        <f t="shared" si="14"/>
        <v>35</v>
      </c>
      <c r="H80" s="140">
        <f t="shared" si="15"/>
        <v>63</v>
      </c>
      <c r="I80" s="140">
        <f t="shared" si="16"/>
        <v>66.150000000000006</v>
      </c>
      <c r="J80" s="84"/>
      <c r="K80" s="29"/>
      <c r="L80" s="122"/>
      <c r="M80" s="122"/>
    </row>
    <row r="81" spans="1:13" x14ac:dyDescent="0.3">
      <c r="A81" s="146" t="s">
        <v>114</v>
      </c>
      <c r="B81" s="71" t="str">
        <f>IF(A81="","",VLOOKUP(A81,'Database Lab+Equip'!$F:$I,2,FALSE))</f>
        <v>Light Vehicle km Rate for Travel</v>
      </c>
      <c r="C81" s="142">
        <v>2556</v>
      </c>
      <c r="D81" s="139">
        <v>1</v>
      </c>
      <c r="E81" s="140">
        <f>IF(A81="",0,VLOOKUP(A81,'Database Lab+Equip'!$F:$I,3,FALSE))</f>
        <v>1.5</v>
      </c>
      <c r="F81" s="140">
        <f>IF(A81="",0,VLOOKUP(A81,'Database Lab+Equip'!$F:$I,4,FALSE))</f>
        <v>2.7</v>
      </c>
      <c r="G81" s="140">
        <f t="shared" si="14"/>
        <v>3834</v>
      </c>
      <c r="H81" s="140">
        <f t="shared" si="15"/>
        <v>6901.2000000000007</v>
      </c>
      <c r="I81" s="140">
        <f t="shared" si="16"/>
        <v>7246.2600000000011</v>
      </c>
      <c r="J81" s="84"/>
      <c r="K81" s="29"/>
      <c r="L81" s="122"/>
      <c r="M81" s="122"/>
    </row>
    <row r="82" spans="1:13" x14ac:dyDescent="0.3">
      <c r="A82" s="146" t="s">
        <v>115</v>
      </c>
      <c r="B82" s="71" t="str">
        <f>IF(A82="","",VLOOKUP(A82,'Database Lab+Equip'!$F:$I,2,FALSE))</f>
        <v>TracStar 900 Polywelding Machine c/w dies</v>
      </c>
      <c r="C82" s="142">
        <v>2</v>
      </c>
      <c r="D82" s="139">
        <v>1</v>
      </c>
      <c r="E82" s="140">
        <f>IF(A82="",0,VLOOKUP(A82,'Database Lab+Equip'!$F:$I,3,FALSE))</f>
        <v>700</v>
      </c>
      <c r="F82" s="140">
        <f>IF(A82="",0,VLOOKUP(A82,'Database Lab+Equip'!$F:$I,4,FALSE))</f>
        <v>979.99999999999989</v>
      </c>
      <c r="G82" s="140">
        <f t="shared" si="14"/>
        <v>1400</v>
      </c>
      <c r="H82" s="140">
        <f t="shared" si="15"/>
        <v>1959.9999999999998</v>
      </c>
      <c r="I82" s="140">
        <f t="shared" si="16"/>
        <v>2058</v>
      </c>
      <c r="J82" s="84"/>
      <c r="K82" s="29"/>
      <c r="L82" s="122"/>
      <c r="M82" s="122"/>
    </row>
    <row r="83" spans="1:13" x14ac:dyDescent="0.3">
      <c r="A83" s="146" t="s">
        <v>116</v>
      </c>
      <c r="B83" s="71" t="str">
        <f>IF(A83="","",VLOOKUP(A83,'Database Lab+Equip'!$F:$I,2,FALSE))</f>
        <v>Hand tools</v>
      </c>
      <c r="C83" s="142">
        <v>1</v>
      </c>
      <c r="D83" s="139">
        <v>1</v>
      </c>
      <c r="E83" s="140">
        <f>IF(A83="",0,VLOOKUP(A83,'Database Lab+Equip'!$F:$I,3,FALSE))</f>
        <v>85</v>
      </c>
      <c r="F83" s="140">
        <f>IF(A83="",0,VLOOKUP(A83,'Database Lab+Equip'!$F:$I,4,FALSE))</f>
        <v>153</v>
      </c>
      <c r="G83" s="140">
        <f t="shared" si="14"/>
        <v>85</v>
      </c>
      <c r="H83" s="140">
        <f t="shared" si="15"/>
        <v>153</v>
      </c>
      <c r="I83" s="140">
        <f t="shared" si="16"/>
        <v>160.65</v>
      </c>
      <c r="J83" s="84"/>
      <c r="K83" s="29"/>
      <c r="L83" s="122"/>
      <c r="M83" s="122"/>
    </row>
    <row r="84" spans="1:13" x14ac:dyDescent="0.3">
      <c r="A84" s="146" t="s">
        <v>117</v>
      </c>
      <c r="B84" s="71" t="str">
        <f>IF(A84="","",VLOOKUP(A84,'Database Lab+Equip'!$F:$I,2,FALSE))</f>
        <v>Stihl MS-390 Chainsaw</v>
      </c>
      <c r="C84" s="142">
        <v>2</v>
      </c>
      <c r="D84" s="139">
        <v>1</v>
      </c>
      <c r="E84" s="140">
        <f>IF(A84="",0,VLOOKUP(A84,'Database Lab+Equip'!$F:$I,3,FALSE))</f>
        <v>30</v>
      </c>
      <c r="F84" s="140">
        <f>IF(A84="",0,VLOOKUP(A84,'Database Lab+Equip'!$F:$I,4,FALSE))</f>
        <v>54</v>
      </c>
      <c r="G84" s="140">
        <f t="shared" si="14"/>
        <v>60</v>
      </c>
      <c r="H84" s="140">
        <f t="shared" ref="H84:H93" si="17">IF(A84="",0,C84*D84*F84*E$59)</f>
        <v>108</v>
      </c>
      <c r="I84" s="140">
        <f t="shared" si="16"/>
        <v>113.4</v>
      </c>
      <c r="J84" s="84"/>
      <c r="K84" s="29"/>
      <c r="L84" s="122"/>
      <c r="M84" s="122"/>
    </row>
    <row r="85" spans="1:13" x14ac:dyDescent="0.3">
      <c r="A85" s="146" t="s">
        <v>118</v>
      </c>
      <c r="B85" s="71" t="str">
        <f>IF(A85="","",VLOOKUP(A85,'Database Lab+Equip'!$F:$I,2,FALSE))</f>
        <v>Kubota Lowboy Genset 6kVa Silenced</v>
      </c>
      <c r="C85" s="150">
        <v>1</v>
      </c>
      <c r="D85" s="139">
        <v>1</v>
      </c>
      <c r="E85" s="140">
        <f>IF(A85="",0,VLOOKUP(A85,'Database Lab+Equip'!$F:$I,3,FALSE))</f>
        <v>25</v>
      </c>
      <c r="F85" s="140">
        <f>IF(A85="",0,VLOOKUP(A85,'Database Lab+Equip'!$F:$I,4,FALSE))</f>
        <v>45</v>
      </c>
      <c r="G85" s="140">
        <f t="shared" si="14"/>
        <v>25</v>
      </c>
      <c r="H85" s="140">
        <f t="shared" si="17"/>
        <v>45</v>
      </c>
      <c r="I85" s="140">
        <f t="shared" si="16"/>
        <v>47.25</v>
      </c>
      <c r="J85" s="84"/>
      <c r="K85" s="29"/>
      <c r="L85" s="122"/>
      <c r="M85" s="122"/>
    </row>
    <row r="86" spans="1:13" x14ac:dyDescent="0.3">
      <c r="A86" s="146" t="s">
        <v>119</v>
      </c>
      <c r="B86" s="71" t="str">
        <f>IF(A86="","",VLOOKUP(A86,'Database Lab+Equip'!$F:$I,2,FALSE))</f>
        <v>HF350 Polywelding Machine c/w dies</v>
      </c>
      <c r="C86" s="150">
        <v>1</v>
      </c>
      <c r="D86" s="139">
        <v>1</v>
      </c>
      <c r="E86" s="140">
        <f>IF(A86="",0,VLOOKUP(A86,'Database Lab+Equip'!$F:$I,3,FALSE))</f>
        <v>110</v>
      </c>
      <c r="F86" s="140">
        <f>IF(A86="",0,VLOOKUP(A86,'Database Lab+Equip'!$F:$I,4,FALSE))</f>
        <v>198</v>
      </c>
      <c r="G86" s="140">
        <f t="shared" si="14"/>
        <v>110</v>
      </c>
      <c r="H86" s="140">
        <f t="shared" si="17"/>
        <v>198</v>
      </c>
      <c r="I86" s="140">
        <f t="shared" si="16"/>
        <v>207.9</v>
      </c>
      <c r="J86" s="84"/>
      <c r="K86" s="29"/>
      <c r="L86" s="122"/>
      <c r="M86" s="122"/>
    </row>
    <row r="87" spans="1:13" x14ac:dyDescent="0.3">
      <c r="A87" s="146" t="s">
        <v>120</v>
      </c>
      <c r="B87" s="71" t="str">
        <f>IF(A87="","",VLOOKUP(A87,'Database Lab+Equip'!$F:$I,2,FALSE))</f>
        <v>WA320</v>
      </c>
      <c r="C87" s="150">
        <v>2</v>
      </c>
      <c r="D87" s="139">
        <v>1</v>
      </c>
      <c r="E87" s="140">
        <f>IF(A87="",0,VLOOKUP(A87,'Database Lab+Equip'!$F:$I,3,FALSE))</f>
        <v>400</v>
      </c>
      <c r="F87" s="140">
        <f>IF(A87="",0,VLOOKUP(A87,'Database Lab+Equip'!$F:$I,4,FALSE))</f>
        <v>720</v>
      </c>
      <c r="G87" s="140">
        <f t="shared" si="14"/>
        <v>800</v>
      </c>
      <c r="H87" s="140">
        <f t="shared" si="17"/>
        <v>1440</v>
      </c>
      <c r="I87" s="140">
        <f t="shared" si="16"/>
        <v>1512</v>
      </c>
      <c r="J87" s="84"/>
      <c r="K87" s="29"/>
      <c r="L87" s="122"/>
      <c r="M87" s="122"/>
    </row>
    <row r="88" spans="1:13" x14ac:dyDescent="0.3">
      <c r="A88" s="146" t="s">
        <v>121</v>
      </c>
      <c r="B88" s="71" t="str">
        <f>IF(A88="","",VLOOKUP(A88,'Database Lab+Equip'!$F:$I,2,FALSE))</f>
        <v xml:space="preserve">35t Excavator </v>
      </c>
      <c r="C88" s="150">
        <v>1</v>
      </c>
      <c r="D88" s="139">
        <v>1</v>
      </c>
      <c r="E88" s="140">
        <f>IF(A88="",0,VLOOKUP(A88,'Database Lab+Equip'!$F:$I,3,FALSE))</f>
        <v>730</v>
      </c>
      <c r="F88" s="140">
        <f>IF(A88="",0,VLOOKUP(A88,'Database Lab+Equip'!$F:$I,4,FALSE))</f>
        <v>1021.9999999999999</v>
      </c>
      <c r="G88" s="140">
        <f t="shared" si="14"/>
        <v>730</v>
      </c>
      <c r="H88" s="140">
        <f t="shared" si="17"/>
        <v>1021.9999999999999</v>
      </c>
      <c r="I88" s="140">
        <f t="shared" si="16"/>
        <v>1073.0999999999999</v>
      </c>
      <c r="J88" s="84"/>
      <c r="K88" s="29"/>
      <c r="L88" s="122"/>
      <c r="M88" s="122"/>
    </row>
    <row r="89" spans="1:13" x14ac:dyDescent="0.3">
      <c r="A89" s="146" t="s">
        <v>132</v>
      </c>
      <c r="B89" s="71" t="str">
        <f>IF(A89="","",VLOOKUP(A89,'Database Lab+Equip'!$F:$I,2,FALSE))</f>
        <v>water trailer for compaction</v>
      </c>
      <c r="C89" s="150">
        <v>1</v>
      </c>
      <c r="D89" s="139">
        <v>1</v>
      </c>
      <c r="E89" s="140">
        <f>IF(A89="",0,VLOOKUP(A89,'Database Lab+Equip'!$F:$I,3,FALSE))</f>
        <v>120</v>
      </c>
      <c r="F89" s="140">
        <f>IF(A89="",0,VLOOKUP(A89,'Database Lab+Equip'!$F:$I,4,FALSE))</f>
        <v>168</v>
      </c>
      <c r="G89" s="140">
        <f t="shared" si="14"/>
        <v>120</v>
      </c>
      <c r="H89" s="140">
        <f t="shared" si="17"/>
        <v>168</v>
      </c>
      <c r="I89" s="140">
        <f t="shared" si="16"/>
        <v>176.4</v>
      </c>
      <c r="J89" s="84"/>
      <c r="K89" s="29"/>
      <c r="L89" s="122"/>
      <c r="M89" s="122"/>
    </row>
    <row r="90" spans="1:13" x14ac:dyDescent="0.3">
      <c r="A90" s="146" t="s">
        <v>122</v>
      </c>
      <c r="B90" s="71" t="str">
        <f>IF(A90="","",VLOOKUP(A90,'Database Lab+Equip'!$F:$I,2,FALSE))</f>
        <v xml:space="preserve">pipe donkey </v>
      </c>
      <c r="C90" s="150">
        <v>1</v>
      </c>
      <c r="D90" s="139">
        <v>1</v>
      </c>
      <c r="E90" s="140">
        <f>IF(A90="",0,VLOOKUP(A90,'Database Lab+Equip'!$F:$I,3,FALSE))</f>
        <v>100</v>
      </c>
      <c r="F90" s="140">
        <f>IF(A90="",0,VLOOKUP(A90,'Database Lab+Equip'!$F:$I,4,FALSE))</f>
        <v>180</v>
      </c>
      <c r="G90" s="140">
        <f t="shared" si="14"/>
        <v>100</v>
      </c>
      <c r="H90" s="140">
        <f t="shared" si="17"/>
        <v>180</v>
      </c>
      <c r="I90" s="140">
        <f t="shared" si="16"/>
        <v>189</v>
      </c>
      <c r="J90" s="84"/>
      <c r="K90" s="29"/>
      <c r="L90" s="122"/>
      <c r="M90" s="122"/>
    </row>
    <row r="91" spans="1:13" x14ac:dyDescent="0.3">
      <c r="A91" s="146" t="s">
        <v>123</v>
      </c>
      <c r="B91" s="71" t="str">
        <f>IF(A91="","",VLOOKUP(A91,'Database Lab+Equip'!$F:$I,2,FALSE))</f>
        <v>plate compactor</v>
      </c>
      <c r="C91" s="150">
        <v>1</v>
      </c>
      <c r="D91" s="139">
        <v>1</v>
      </c>
      <c r="E91" s="140">
        <f>IF(A91="",0,VLOOKUP(A91,'Database Lab+Equip'!$F:$I,3,FALSE))</f>
        <v>150</v>
      </c>
      <c r="F91" s="140">
        <f>IF(A91="",0,VLOOKUP(A91,'Database Lab+Equip'!$F:$I,4,FALSE))</f>
        <v>270</v>
      </c>
      <c r="G91" s="140">
        <f t="shared" si="14"/>
        <v>150</v>
      </c>
      <c r="H91" s="140">
        <f t="shared" si="17"/>
        <v>270</v>
      </c>
      <c r="I91" s="140">
        <f t="shared" si="16"/>
        <v>283.5</v>
      </c>
      <c r="J91" s="84"/>
      <c r="K91" s="29"/>
      <c r="L91" s="122"/>
      <c r="M91" s="122"/>
    </row>
    <row r="92" spans="1:13" x14ac:dyDescent="0.3">
      <c r="A92" s="146"/>
      <c r="B92" s="71" t="str">
        <f>IF(A92="","",VLOOKUP(A92,'Database Lab+Equip'!$F:$I,2,FALSE))</f>
        <v/>
      </c>
      <c r="C92" s="150"/>
      <c r="D92" s="139"/>
      <c r="E92" s="140">
        <f>IF(A92="",0,VLOOKUP(A92,'Database Lab+Equip'!$F:$I,3,FALSE))</f>
        <v>0</v>
      </c>
      <c r="F92" s="140">
        <f>IF(A92="",0,VLOOKUP(A92,'Database Lab+Equip'!$F:$I,4,FALSE))</f>
        <v>0</v>
      </c>
      <c r="G92" s="140">
        <f t="shared" si="14"/>
        <v>0</v>
      </c>
      <c r="H92" s="140">
        <f t="shared" si="17"/>
        <v>0</v>
      </c>
      <c r="I92" s="140">
        <f t="shared" si="16"/>
        <v>0</v>
      </c>
      <c r="J92" s="84"/>
      <c r="K92" s="29"/>
      <c r="L92" s="122"/>
      <c r="M92" s="122"/>
    </row>
    <row r="93" spans="1:13" x14ac:dyDescent="0.3">
      <c r="A93" s="146"/>
      <c r="B93" s="71" t="str">
        <f>IF(A93="","",VLOOKUP(A93,'Database Lab+Equip'!$F:$I,2,FALSE))</f>
        <v/>
      </c>
      <c r="C93" s="150"/>
      <c r="D93" s="139"/>
      <c r="E93" s="140">
        <f>IF(A93="",0,VLOOKUP(A93,'Database Lab+Equip'!$F:$I,3,FALSE))</f>
        <v>0</v>
      </c>
      <c r="F93" s="140">
        <f>IF(A93="",0,VLOOKUP(A93,'Database Lab+Equip'!$F:$I,4,FALSE))</f>
        <v>0</v>
      </c>
      <c r="G93" s="140">
        <f t="shared" si="14"/>
        <v>0</v>
      </c>
      <c r="H93" s="140">
        <f t="shared" si="17"/>
        <v>0</v>
      </c>
      <c r="I93" s="140">
        <f t="shared" si="16"/>
        <v>0</v>
      </c>
      <c r="J93" s="152" t="s">
        <v>108</v>
      </c>
      <c r="K93" s="153" t="s">
        <v>109</v>
      </c>
      <c r="M93" s="132"/>
    </row>
    <row r="94" spans="1:13" x14ac:dyDescent="0.3">
      <c r="A94" s="61"/>
      <c r="B94" s="73"/>
      <c r="C94" s="16"/>
      <c r="D94" s="15"/>
      <c r="E94" s="122"/>
      <c r="F94" s="122"/>
      <c r="G94" s="21">
        <f>SUM(G78:G93)</f>
        <v>7954</v>
      </c>
      <c r="H94" s="21">
        <f>SUM(H78:H93)</f>
        <v>13359.2</v>
      </c>
      <c r="I94" s="21">
        <f>SUM(I78:I93)</f>
        <v>14027.16</v>
      </c>
      <c r="J94" s="21">
        <f>G94</f>
        <v>7954</v>
      </c>
      <c r="K94" s="34">
        <f>I94</f>
        <v>14027.16</v>
      </c>
      <c r="L94" s="160">
        <f>IF(J94=0,0,(K94-J94)/J94)</f>
        <v>0.76353532813678648</v>
      </c>
      <c r="M94" s="232">
        <f>SUM(I78:I93)-SUM(G78:G93)</f>
        <v>6073.16</v>
      </c>
    </row>
    <row r="95" spans="1:13" x14ac:dyDescent="0.3">
      <c r="A95" s="61"/>
      <c r="B95" s="73"/>
      <c r="C95" s="16"/>
      <c r="D95" s="15"/>
      <c r="E95" s="15"/>
      <c r="F95" s="15"/>
      <c r="G95" s="54"/>
      <c r="H95" s="54"/>
      <c r="I95" s="54"/>
      <c r="J95" s="54"/>
      <c r="K95" s="34"/>
      <c r="L95" s="45"/>
    </row>
    <row r="96" spans="1:13" ht="27.6" x14ac:dyDescent="0.3">
      <c r="A96" s="61"/>
      <c r="B96" s="65" t="s">
        <v>124</v>
      </c>
      <c r="C96" s="48" t="s">
        <v>47</v>
      </c>
      <c r="D96" s="48" t="s">
        <v>125</v>
      </c>
      <c r="E96" s="48" t="s">
        <v>98</v>
      </c>
      <c r="F96" s="48" t="s">
        <v>99</v>
      </c>
      <c r="G96" s="48" t="s">
        <v>22</v>
      </c>
      <c r="H96" s="49" t="s">
        <v>23</v>
      </c>
      <c r="I96" s="135" t="s">
        <v>100</v>
      </c>
      <c r="J96" s="54"/>
      <c r="K96" s="34"/>
      <c r="L96" s="45"/>
    </row>
    <row r="97" spans="1:13" x14ac:dyDescent="0.3">
      <c r="A97" s="61"/>
      <c r="B97" s="167" t="s">
        <v>133</v>
      </c>
      <c r="C97" s="150">
        <v>1</v>
      </c>
      <c r="D97" s="15">
        <v>1</v>
      </c>
      <c r="E97" s="150">
        <v>5500</v>
      </c>
      <c r="F97" s="44">
        <f>E97*1.1</f>
        <v>6050.0000000000009</v>
      </c>
      <c r="G97" s="44">
        <f>C97*D97*E97</f>
        <v>5500</v>
      </c>
      <c r="H97" s="44">
        <f>C97*D97*F97</f>
        <v>6050.0000000000009</v>
      </c>
      <c r="I97" s="169">
        <f>(H97*$M$60)+H97</f>
        <v>6352.5000000000009</v>
      </c>
      <c r="J97" s="54"/>
      <c r="K97" s="34"/>
      <c r="L97" s="45"/>
    </row>
    <row r="98" spans="1:13" x14ac:dyDescent="0.3">
      <c r="B98" s="141" t="s">
        <v>130</v>
      </c>
      <c r="C98" s="142">
        <v>2</v>
      </c>
      <c r="D98" s="15">
        <v>1</v>
      </c>
      <c r="E98" s="142">
        <v>9660</v>
      </c>
      <c r="F98" s="44">
        <f>E98*1.1</f>
        <v>10626</v>
      </c>
      <c r="G98" s="44">
        <f>C98*D98*E98</f>
        <v>19320</v>
      </c>
      <c r="H98" s="44">
        <f>C98*D98*F98</f>
        <v>21252</v>
      </c>
      <c r="I98" s="169">
        <f>(H98*$M$60)+H98</f>
        <v>22314.6</v>
      </c>
      <c r="J98" s="26"/>
      <c r="K98" s="26"/>
      <c r="L98" s="45"/>
    </row>
    <row r="99" spans="1:13" x14ac:dyDescent="0.3">
      <c r="B99" s="141"/>
      <c r="C99" s="142"/>
      <c r="D99" s="15">
        <v>1</v>
      </c>
      <c r="E99" s="142"/>
      <c r="F99" s="44">
        <f t="shared" ref="F99:F104" si="18">E99*1.1</f>
        <v>0</v>
      </c>
      <c r="G99" s="44">
        <f t="shared" ref="G99:G104" si="19">C99*D99*E99</f>
        <v>0</v>
      </c>
      <c r="H99" s="44">
        <f t="shared" ref="H99:H104" si="20">C99*D99*F99</f>
        <v>0</v>
      </c>
      <c r="I99" s="170"/>
      <c r="J99" s="26"/>
      <c r="K99" s="26"/>
      <c r="L99" s="45"/>
    </row>
    <row r="100" spans="1:13" x14ac:dyDescent="0.3">
      <c r="B100" s="141"/>
      <c r="C100" s="142"/>
      <c r="D100" s="15">
        <v>1</v>
      </c>
      <c r="E100" s="142"/>
      <c r="F100" s="44">
        <f t="shared" si="18"/>
        <v>0</v>
      </c>
      <c r="G100" s="44">
        <f t="shared" si="19"/>
        <v>0</v>
      </c>
      <c r="H100" s="44">
        <f t="shared" si="20"/>
        <v>0</v>
      </c>
      <c r="I100" s="170"/>
      <c r="J100" s="26"/>
      <c r="K100" s="26"/>
      <c r="L100" s="45"/>
    </row>
    <row r="101" spans="1:13" x14ac:dyDescent="0.3">
      <c r="B101" s="141"/>
      <c r="C101" s="142"/>
      <c r="D101" s="15">
        <v>1</v>
      </c>
      <c r="E101" s="142"/>
      <c r="F101" s="44">
        <f t="shared" si="18"/>
        <v>0</v>
      </c>
      <c r="G101" s="44">
        <f t="shared" si="19"/>
        <v>0</v>
      </c>
      <c r="H101" s="44">
        <f t="shared" si="20"/>
        <v>0</v>
      </c>
      <c r="I101" s="170"/>
      <c r="J101" s="26"/>
      <c r="K101" s="26"/>
      <c r="L101" s="45"/>
    </row>
    <row r="102" spans="1:13" x14ac:dyDescent="0.3">
      <c r="B102" s="141"/>
      <c r="C102" s="142"/>
      <c r="D102" s="15">
        <v>1</v>
      </c>
      <c r="E102" s="142"/>
      <c r="F102" s="44">
        <f t="shared" si="18"/>
        <v>0</v>
      </c>
      <c r="G102" s="44">
        <f t="shared" si="19"/>
        <v>0</v>
      </c>
      <c r="H102" s="44">
        <f t="shared" si="20"/>
        <v>0</v>
      </c>
      <c r="I102" s="170"/>
      <c r="J102" s="26"/>
      <c r="K102" s="26"/>
      <c r="L102" s="45"/>
    </row>
    <row r="103" spans="1:13" x14ac:dyDescent="0.3">
      <c r="B103" s="141"/>
      <c r="C103" s="142"/>
      <c r="D103" s="15">
        <v>1</v>
      </c>
      <c r="E103" s="142"/>
      <c r="F103" s="44">
        <f t="shared" si="18"/>
        <v>0</v>
      </c>
      <c r="G103" s="44">
        <f t="shared" si="19"/>
        <v>0</v>
      </c>
      <c r="H103" s="44">
        <f t="shared" si="20"/>
        <v>0</v>
      </c>
      <c r="I103" s="170"/>
      <c r="J103" s="31"/>
    </row>
    <row r="104" spans="1:13" x14ac:dyDescent="0.3">
      <c r="B104" s="167"/>
      <c r="C104" s="150"/>
      <c r="D104" s="15">
        <v>1</v>
      </c>
      <c r="E104" s="150"/>
      <c r="F104" s="44">
        <f t="shared" si="18"/>
        <v>0</v>
      </c>
      <c r="G104" s="44">
        <f t="shared" si="19"/>
        <v>0</v>
      </c>
      <c r="H104" s="44">
        <f t="shared" si="20"/>
        <v>0</v>
      </c>
      <c r="I104" s="171"/>
      <c r="J104" s="56" t="s">
        <v>108</v>
      </c>
      <c r="K104" s="55" t="s">
        <v>109</v>
      </c>
      <c r="L104" s="168"/>
    </row>
    <row r="105" spans="1:13" x14ac:dyDescent="0.3">
      <c r="B105"/>
      <c r="C105"/>
      <c r="D105"/>
      <c r="E105"/>
      <c r="F105"/>
      <c r="G105" s="21">
        <f>SUM(G97:G104)</f>
        <v>24820</v>
      </c>
      <c r="H105" s="21">
        <f>SUM(H97:H104)</f>
        <v>27302</v>
      </c>
      <c r="I105" s="352">
        <f>SUM(I97:I104)</f>
        <v>28667.1</v>
      </c>
      <c r="J105" s="21">
        <f>G105</f>
        <v>24820</v>
      </c>
      <c r="K105" s="34">
        <f>I105</f>
        <v>28667.1</v>
      </c>
      <c r="L105" s="163">
        <f>IF(J105=0,0,(K105-J105)/K105)</f>
        <v>0.13419913419913415</v>
      </c>
      <c r="M105" s="233">
        <f>SUM(H97:H104)-SUM(F97:F104)</f>
        <v>10626</v>
      </c>
    </row>
    <row r="106" spans="1:13" x14ac:dyDescent="0.3">
      <c r="A106" s="114"/>
      <c r="B106" s="115"/>
      <c r="C106" s="116"/>
      <c r="D106" s="117"/>
      <c r="E106" s="117"/>
      <c r="F106" s="117"/>
      <c r="G106" s="118"/>
      <c r="H106" s="110"/>
      <c r="I106" s="172"/>
      <c r="J106" s="162">
        <f>J75+J94+J105</f>
        <v>39314</v>
      </c>
      <c r="K106" s="162">
        <f>K75+K94+K105</f>
        <v>52308.06</v>
      </c>
      <c r="L106" s="119">
        <f>IF(J106=0,0,(K106-J106)/K106)</f>
        <v>0.24841410673613204</v>
      </c>
      <c r="M106" s="234">
        <f>M75+M94</f>
        <v>9146.9599999999973</v>
      </c>
    </row>
    <row r="107" spans="1:13" x14ac:dyDescent="0.3">
      <c r="B107" s="73"/>
      <c r="C107" s="16"/>
      <c r="D107" s="15"/>
      <c r="E107" s="15"/>
      <c r="F107" s="15"/>
      <c r="G107" s="54"/>
      <c r="J107" s="26"/>
    </row>
    <row r="108" spans="1:13" x14ac:dyDescent="0.3">
      <c r="J108" s="26"/>
    </row>
    <row r="109" spans="1:13" x14ac:dyDescent="0.3">
      <c r="J109" s="26"/>
    </row>
    <row r="110" spans="1:13" x14ac:dyDescent="0.3">
      <c r="J110" s="26"/>
    </row>
    <row r="111" spans="1:13" x14ac:dyDescent="0.3">
      <c r="J111" s="26"/>
    </row>
    <row r="112" spans="1:13" x14ac:dyDescent="0.3">
      <c r="J112"/>
      <c r="K112"/>
      <c r="L112"/>
      <c r="M112"/>
    </row>
    <row r="113" spans="10:13" x14ac:dyDescent="0.3">
      <c r="J113"/>
      <c r="K113"/>
      <c r="L113"/>
      <c r="M113"/>
    </row>
    <row r="114" spans="10:13" x14ac:dyDescent="0.3">
      <c r="J114"/>
      <c r="K114"/>
      <c r="L114"/>
      <c r="M114"/>
    </row>
    <row r="115" spans="10:13" x14ac:dyDescent="0.3">
      <c r="J115" s="54"/>
      <c r="K115" s="34"/>
    </row>
  </sheetData>
  <conditionalFormatting sqref="M51">
    <cfRule type="expression" dxfId="3" priority="6">
      <formula>AND($J$51&gt;0,$M$51=0)</formula>
    </cfRule>
  </conditionalFormatting>
  <conditionalFormatting sqref="M105">
    <cfRule type="expression" dxfId="2" priority="2">
      <formula>AND($J$51&gt;0,$M$51=0)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&amp;C&amp;"Calibri,Bold"&amp;11&amp;UBudget Estimate Template&amp;R&amp;G</oddHeader>
    <oddFooter>&amp;L&amp;F - &amp;A&amp;CPage &amp;P of &amp;N&amp;R&amp;D</oddFooter>
  </headerFooter>
  <rowBreaks count="1" manualBreakCount="1">
    <brk id="52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="Select labour or asset code from the Database tab_x000a_" xr:uid="{00000000-0002-0000-0400-000000000000}">
          <x14:formula1>
            <xm:f>'Database Lab+Equip'!$A:$A</xm:f>
          </x14:formula1>
          <xm:sqref>A10:A21 A63:A74</xm:sqref>
        </x14:dataValidation>
        <x14:dataValidation type="list" allowBlank="1" prompt="Select labour or asset code from the Database tab_x000a_" xr:uid="{00000000-0002-0000-0400-000001000000}">
          <x14:formula1>
            <xm:f>'Database Lab+Equip'!$F:$F</xm:f>
          </x14:formula1>
          <xm:sqref>A25:A39 A78:A93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tabColor rgb="FFFFC000"/>
    <pageSetUpPr fitToPage="1"/>
  </sheetPr>
  <dimension ref="A1:M57"/>
  <sheetViews>
    <sheetView tabSelected="1" zoomScale="85" zoomScaleNormal="85" workbookViewId="0">
      <selection activeCell="I40" sqref="I40"/>
    </sheetView>
  </sheetViews>
  <sheetFormatPr defaultColWidth="9.21875" defaultRowHeight="13.8" x14ac:dyDescent="0.3"/>
  <cols>
    <col min="1" max="1" width="19.44140625" style="31" bestFit="1" customWidth="1"/>
    <col min="2" max="2" width="31.77734375" style="31" customWidth="1"/>
    <col min="3" max="3" width="12.77734375" style="30" customWidth="1"/>
    <col min="4" max="4" width="10.44140625" style="158" customWidth="1"/>
    <col min="5" max="5" width="10.21875" style="159" customWidth="1"/>
    <col min="6" max="6" width="11.21875" style="157" customWidth="1"/>
    <col min="7" max="7" width="14.5546875" style="30" customWidth="1"/>
    <col min="8" max="8" width="14.5546875" style="31" customWidth="1"/>
    <col min="9" max="10" width="14.5546875" style="157" customWidth="1"/>
    <col min="11" max="11" width="14.5546875" style="31" customWidth="1"/>
    <col min="12" max="12" width="11.21875" style="31" customWidth="1"/>
    <col min="13" max="13" width="39.44140625" style="31" customWidth="1"/>
    <col min="14" max="16384" width="9.21875" style="31"/>
  </cols>
  <sheetData>
    <row r="1" spans="1:13" x14ac:dyDescent="0.3">
      <c r="A1" s="61"/>
      <c r="B1" s="73"/>
      <c r="C1" s="16"/>
      <c r="D1" s="15"/>
      <c r="E1" s="15"/>
      <c r="F1" s="15"/>
      <c r="G1" s="54"/>
      <c r="I1"/>
      <c r="J1" s="21"/>
      <c r="K1" s="21"/>
      <c r="L1" s="209"/>
      <c r="M1" s="208"/>
    </row>
    <row r="2" spans="1:13" ht="15.6" x14ac:dyDescent="0.3">
      <c r="A2" s="61"/>
      <c r="B2" s="64" t="s">
        <v>134</v>
      </c>
      <c r="C2" s="85"/>
      <c r="D2" s="85"/>
      <c r="E2" s="85"/>
      <c r="F2" s="60"/>
      <c r="G2" s="17"/>
      <c r="H2" s="17"/>
      <c r="I2" s="17"/>
      <c r="J2" s="17"/>
      <c r="K2" s="17"/>
      <c r="L2" s="93" t="s">
        <v>85</v>
      </c>
      <c r="M2" s="94"/>
    </row>
    <row r="3" spans="1:13" x14ac:dyDescent="0.3">
      <c r="A3" s="61"/>
      <c r="B3" s="24" t="s">
        <v>135</v>
      </c>
      <c r="C3" s="22"/>
      <c r="D3" s="128" t="s">
        <v>87</v>
      </c>
      <c r="E3" s="23"/>
      <c r="F3" s="174"/>
      <c r="G3" s="26"/>
      <c r="H3" s="26"/>
      <c r="I3" s="26"/>
      <c r="J3" s="26"/>
      <c r="K3" s="26"/>
      <c r="L3" s="126" t="s">
        <v>88</v>
      </c>
      <c r="M3" s="127"/>
    </row>
    <row r="4" spans="1:13" x14ac:dyDescent="0.3">
      <c r="A4" s="61"/>
      <c r="B4" s="24"/>
      <c r="C4" s="25"/>
      <c r="D4" s="128" t="s">
        <v>89</v>
      </c>
      <c r="E4" s="23"/>
      <c r="F4" s="31"/>
      <c r="G4" s="17"/>
      <c r="H4" s="17"/>
      <c r="I4" s="17"/>
      <c r="J4" s="17"/>
      <c r="K4" s="26"/>
      <c r="L4" s="126" t="s">
        <v>90</v>
      </c>
      <c r="M4" s="127"/>
    </row>
    <row r="5" spans="1:13" x14ac:dyDescent="0.3">
      <c r="A5" s="61"/>
      <c r="B5" s="24"/>
      <c r="C5" s="27" t="str">
        <f>IF(C287="","",IF(E289="","",C287/E289+C288))</f>
        <v/>
      </c>
      <c r="D5" s="128" t="s">
        <v>91</v>
      </c>
      <c r="E5" s="23"/>
      <c r="F5" s="31"/>
      <c r="G5" s="17"/>
      <c r="H5" s="17"/>
      <c r="I5" s="26"/>
      <c r="J5" s="26"/>
      <c r="K5" s="26"/>
      <c r="L5" s="126" t="s">
        <v>92</v>
      </c>
      <c r="M5" s="127"/>
    </row>
    <row r="6" spans="1:13" ht="15.6" x14ac:dyDescent="0.3">
      <c r="A6" s="61"/>
      <c r="B6" s="59" t="s">
        <v>93</v>
      </c>
      <c r="C6" s="25"/>
      <c r="D6" s="128" t="s">
        <v>25</v>
      </c>
      <c r="E6" s="128">
        <f>SUM(C11:C22)</f>
        <v>3</v>
      </c>
      <c r="F6" s="31"/>
      <c r="H6" s="17"/>
      <c r="I6" s="26"/>
      <c r="J6" s="26"/>
      <c r="K6" s="26"/>
      <c r="L6" s="93" t="s">
        <v>94</v>
      </c>
      <c r="M6" s="94"/>
    </row>
    <row r="7" spans="1:13" x14ac:dyDescent="0.3">
      <c r="A7" s="61"/>
      <c r="B7" s="59" t="s">
        <v>95</v>
      </c>
      <c r="C7" s="25"/>
      <c r="D7" s="128" t="s">
        <v>44</v>
      </c>
      <c r="E7" s="244">
        <v>80</v>
      </c>
      <c r="F7" s="31"/>
      <c r="H7" s="17"/>
      <c r="I7" s="26"/>
      <c r="J7" s="26"/>
      <c r="K7" s="26"/>
      <c r="L7" s="57" t="s">
        <v>70</v>
      </c>
      <c r="M7" s="58">
        <v>0.05</v>
      </c>
    </row>
    <row r="8" spans="1:13" x14ac:dyDescent="0.3">
      <c r="A8" s="61"/>
      <c r="B8" s="43"/>
      <c r="C8" s="60"/>
      <c r="D8" s="28"/>
      <c r="E8" s="28"/>
      <c r="H8" s="29"/>
      <c r="I8" s="29"/>
      <c r="J8" s="29"/>
      <c r="K8" s="29"/>
      <c r="L8" s="57" t="s">
        <v>80</v>
      </c>
      <c r="M8" s="58">
        <v>0.05</v>
      </c>
    </row>
    <row r="9" spans="1:13" x14ac:dyDescent="0.3">
      <c r="A9" s="61"/>
      <c r="B9" s="43"/>
      <c r="C9" s="60"/>
      <c r="D9" s="28"/>
      <c r="E9" s="28"/>
      <c r="H9" s="29"/>
      <c r="I9" s="29"/>
      <c r="J9" s="29"/>
      <c r="K9" s="29"/>
      <c r="M9" s="210"/>
    </row>
    <row r="10" spans="1:13" ht="27.6" x14ac:dyDescent="0.3">
      <c r="A10" s="47" t="s">
        <v>96</v>
      </c>
      <c r="B10" s="47" t="s">
        <v>70</v>
      </c>
      <c r="C10" s="48" t="s">
        <v>47</v>
      </c>
      <c r="D10" s="48" t="s">
        <v>73</v>
      </c>
      <c r="E10" s="48" t="s">
        <v>98</v>
      </c>
      <c r="F10" s="48" t="s">
        <v>99</v>
      </c>
      <c r="G10" s="48" t="s">
        <v>22</v>
      </c>
      <c r="H10" s="49" t="s">
        <v>23</v>
      </c>
      <c r="I10" s="50" t="s">
        <v>100</v>
      </c>
      <c r="J10" s="51"/>
      <c r="K10" s="52"/>
      <c r="L10" s="48" t="s">
        <v>101</v>
      </c>
    </row>
    <row r="11" spans="1:13" x14ac:dyDescent="0.3">
      <c r="A11" s="137" t="s">
        <v>136</v>
      </c>
      <c r="B11" s="138" t="str">
        <f>IF(A11="","",VLOOKUP(A11,'Database Lab+Equip'!$A:$D,2,FALSE))</f>
        <v>Administration</v>
      </c>
      <c r="C11" s="139">
        <v>1</v>
      </c>
      <c r="D11" s="139">
        <v>2</v>
      </c>
      <c r="E11" s="140">
        <f>IF(A11="",0,VLOOKUP(A11,'Database Lab+Equip'!$A:$D,3,FALSE))</f>
        <v>60</v>
      </c>
      <c r="F11" s="140">
        <f>IF(A11="",0,VLOOKUP(A11,'Database Lab+Equip'!$A:$D,4,FALSE))</f>
        <v>84</v>
      </c>
      <c r="G11" s="140">
        <f>IF(A11="",0,C11*D11*E11*E$7)</f>
        <v>9600</v>
      </c>
      <c r="H11" s="140">
        <f>IF(A11="",0,C11*D11*F11*E$7)</f>
        <v>13440</v>
      </c>
      <c r="I11" s="140">
        <f>(H11*$M$7)+H11</f>
        <v>14112</v>
      </c>
      <c r="J11" s="84"/>
      <c r="K11" s="29"/>
      <c r="L11" s="122"/>
      <c r="M11" s="84"/>
    </row>
    <row r="12" spans="1:13" x14ac:dyDescent="0.3">
      <c r="A12" s="141" t="s">
        <v>137</v>
      </c>
      <c r="B12" s="138" t="str">
        <f>IF(A12="","",VLOOKUP(A12,'Database Lab+Equip'!$A:$D,2,FALSE))</f>
        <v>Project Manager</v>
      </c>
      <c r="C12" s="142">
        <v>1</v>
      </c>
      <c r="D12" s="142">
        <v>2</v>
      </c>
      <c r="E12" s="140">
        <f>IF(A12="",0,VLOOKUP(A12,'Database Lab+Equip'!$A:$D,3,FALSE))</f>
        <v>118</v>
      </c>
      <c r="F12" s="140">
        <f>IF(A12="",0,VLOOKUP(A12,'Database Lab+Equip'!$A:$D,4,FALSE))</f>
        <v>165.2</v>
      </c>
      <c r="G12" s="140">
        <f>IF(A12="",0,C12*D12*E12*E$7)</f>
        <v>18880</v>
      </c>
      <c r="H12" s="140">
        <f>IF(A12="",0,C12*D12*F12*E$7)</f>
        <v>26432</v>
      </c>
      <c r="I12" s="140">
        <f>(H12*$M$7)+H12</f>
        <v>27753.599999999999</v>
      </c>
      <c r="J12" s="84"/>
      <c r="K12" s="29"/>
      <c r="L12" s="122"/>
      <c r="M12" s="122"/>
    </row>
    <row r="13" spans="1:13" x14ac:dyDescent="0.3">
      <c r="A13" s="141" t="s">
        <v>102</v>
      </c>
      <c r="B13" s="138" t="str">
        <f>IF(A13="","",VLOOKUP(A13,'Database Lab+Equip'!$A:$D,2,FALSE))</f>
        <v>Supervisor</v>
      </c>
      <c r="C13" s="142">
        <v>1</v>
      </c>
      <c r="D13" s="142">
        <v>12</v>
      </c>
      <c r="E13" s="140">
        <f>IF(A13="",0,VLOOKUP(A13,'Database Lab+Equip'!$A:$D,3,FALSE))</f>
        <v>100</v>
      </c>
      <c r="F13" s="140">
        <f>IF(A13="",0,VLOOKUP(A13,'Database Lab+Equip'!$A:$D,4,FALSE))</f>
        <v>140</v>
      </c>
      <c r="G13" s="140">
        <f>IF(A13="",0,C13*D13*E13*E$7)</f>
        <v>96000</v>
      </c>
      <c r="H13" s="140">
        <f>IF(A13="",0,C13*D13*F13*E$7)</f>
        <v>134400</v>
      </c>
      <c r="I13" s="140">
        <f>(H13*$M$7)+H13</f>
        <v>141120</v>
      </c>
      <c r="J13" s="84"/>
      <c r="K13" s="29"/>
      <c r="L13" s="122"/>
      <c r="M13" s="122"/>
    </row>
    <row r="14" spans="1:13" x14ac:dyDescent="0.3">
      <c r="A14" s="141"/>
      <c r="B14" s="138" t="str">
        <f>IF(A14="","",VLOOKUP(A14,'Database Lab+Equip'!$A:$D,2,FALSE))</f>
        <v/>
      </c>
      <c r="C14" s="142"/>
      <c r="D14" s="142"/>
      <c r="E14" s="140">
        <f>IF(A14="",0,VLOOKUP(A14,'Database Lab+Equip'!$A:$D,3,FALSE))</f>
        <v>0</v>
      </c>
      <c r="F14" s="140">
        <f>IF(A14="",0,VLOOKUP(A14,'Database Lab+Equip'!$A:$D,4,FALSE))</f>
        <v>0</v>
      </c>
      <c r="G14" s="140">
        <f>IF(A14="",0,C14*D14*E14*E$7)</f>
        <v>0</v>
      </c>
      <c r="H14" s="140">
        <f>IF(A14="",0,C14*D14*F14*E$7)</f>
        <v>0</v>
      </c>
      <c r="I14" s="140">
        <f>(H14*$M$7)+H14</f>
        <v>0</v>
      </c>
      <c r="J14" s="84"/>
      <c r="K14" s="29"/>
      <c r="L14" s="122"/>
      <c r="M14" s="122"/>
    </row>
    <row r="15" spans="1:13" x14ac:dyDescent="0.3">
      <c r="A15" s="141"/>
      <c r="B15" s="138" t="str">
        <f>IF(A15="","",VLOOKUP(A15,'Database Lab+Equip'!$A:$D,2,FALSE))</f>
        <v/>
      </c>
      <c r="C15" s="142"/>
      <c r="D15" s="142"/>
      <c r="E15" s="140">
        <f>IF(A15="",0,VLOOKUP(A15,'Database Lab+Equip'!$A:$D,3,FALSE))</f>
        <v>0</v>
      </c>
      <c r="F15" s="140">
        <f>IF(A15="",0,VLOOKUP(A15,'Database Lab+Equip'!$A:$D,4,FALSE))</f>
        <v>0</v>
      </c>
      <c r="G15" s="140">
        <f t="shared" ref="G15:G21" si="0">IF(A15="",0,C15*D15*E15*E$7)</f>
        <v>0</v>
      </c>
      <c r="H15" s="140">
        <f t="shared" ref="H15:H21" si="1">IF(A15="",0,C15*D15*F15*E$7)</f>
        <v>0</v>
      </c>
      <c r="I15" s="140">
        <f t="shared" ref="I15:I22" si="2">(H15*$M$7)+H15</f>
        <v>0</v>
      </c>
      <c r="J15" s="84"/>
      <c r="K15" s="29"/>
      <c r="L15" s="122"/>
      <c r="M15" s="122"/>
    </row>
    <row r="16" spans="1:13" x14ac:dyDescent="0.3">
      <c r="A16" s="141"/>
      <c r="B16" s="138" t="str">
        <f>IF(A16="","",VLOOKUP(A16,'Database Lab+Equip'!$A:$D,2,FALSE))</f>
        <v/>
      </c>
      <c r="C16" s="142"/>
      <c r="D16" s="142"/>
      <c r="E16" s="140">
        <f>IF(A16="",0,VLOOKUP(A16,'Database Lab+Equip'!$A:$D,3,FALSE))</f>
        <v>0</v>
      </c>
      <c r="F16" s="140">
        <f>IF(A16="",0,VLOOKUP(A16,'Database Lab+Equip'!$A:$D,4,FALSE))</f>
        <v>0</v>
      </c>
      <c r="G16" s="140">
        <f t="shared" si="0"/>
        <v>0</v>
      </c>
      <c r="H16" s="140">
        <f t="shared" si="1"/>
        <v>0</v>
      </c>
      <c r="I16" s="140">
        <f t="shared" si="2"/>
        <v>0</v>
      </c>
      <c r="J16" s="84"/>
      <c r="K16" s="29"/>
      <c r="L16" s="122"/>
      <c r="M16" s="122"/>
    </row>
    <row r="17" spans="1:13" x14ac:dyDescent="0.3">
      <c r="A17" s="141"/>
      <c r="B17" s="138" t="str">
        <f>IF(A17="","",VLOOKUP(A17,'Database Lab+Equip'!$A:$D,2,FALSE))</f>
        <v/>
      </c>
      <c r="C17" s="142"/>
      <c r="D17" s="142"/>
      <c r="E17" s="140">
        <f>IF(A17="",0,VLOOKUP(A17,'Database Lab+Equip'!$A:$D,3,FALSE))</f>
        <v>0</v>
      </c>
      <c r="F17" s="140">
        <f>IF(A17="",0,VLOOKUP(A17,'Database Lab+Equip'!$A:$D,4,FALSE))</f>
        <v>0</v>
      </c>
      <c r="G17" s="140">
        <f t="shared" si="0"/>
        <v>0</v>
      </c>
      <c r="H17" s="140">
        <f t="shared" si="1"/>
        <v>0</v>
      </c>
      <c r="I17" s="140">
        <f t="shared" si="2"/>
        <v>0</v>
      </c>
      <c r="J17" s="84"/>
      <c r="K17" s="29"/>
      <c r="L17" s="122"/>
      <c r="M17" s="122"/>
    </row>
    <row r="18" spans="1:13" x14ac:dyDescent="0.3">
      <c r="A18" s="141"/>
      <c r="B18" s="138" t="str">
        <f>IF(A18="","",VLOOKUP(A18,'Database Lab+Equip'!$A:$D,2,FALSE))</f>
        <v/>
      </c>
      <c r="C18" s="142"/>
      <c r="D18" s="142"/>
      <c r="E18" s="140">
        <f>IF(A18="",0,VLOOKUP(A18,'Database Lab+Equip'!$A:$D,3,FALSE))</f>
        <v>0</v>
      </c>
      <c r="F18" s="140">
        <f>IF(A18="",0,VLOOKUP(A18,'Database Lab+Equip'!$A:$D,4,FALSE))</f>
        <v>0</v>
      </c>
      <c r="G18" s="140">
        <f t="shared" si="0"/>
        <v>0</v>
      </c>
      <c r="H18" s="140">
        <f t="shared" si="1"/>
        <v>0</v>
      </c>
      <c r="I18" s="140">
        <f t="shared" si="2"/>
        <v>0</v>
      </c>
      <c r="J18" s="84"/>
      <c r="K18" s="29"/>
      <c r="L18" s="122"/>
      <c r="M18" s="122"/>
    </row>
    <row r="19" spans="1:13" x14ac:dyDescent="0.3">
      <c r="A19" s="141"/>
      <c r="B19" s="138" t="str">
        <f>IF(A19="","",VLOOKUP(A19,'Database Lab+Equip'!$A:$D,2,FALSE))</f>
        <v/>
      </c>
      <c r="C19" s="142"/>
      <c r="D19" s="142"/>
      <c r="E19" s="140">
        <f>IF(A19="",0,VLOOKUP(A19,'Database Lab+Equip'!$A:$D,3,FALSE))</f>
        <v>0</v>
      </c>
      <c r="F19" s="140">
        <f>IF(A19="",0,VLOOKUP(A19,'Database Lab+Equip'!$A:$D,4,FALSE))</f>
        <v>0</v>
      </c>
      <c r="G19" s="140">
        <f t="shared" si="0"/>
        <v>0</v>
      </c>
      <c r="H19" s="140">
        <f t="shared" si="1"/>
        <v>0</v>
      </c>
      <c r="I19" s="140">
        <f t="shared" si="2"/>
        <v>0</v>
      </c>
      <c r="J19" s="84"/>
      <c r="K19" s="29"/>
      <c r="L19" s="122"/>
      <c r="M19" s="122"/>
    </row>
    <row r="20" spans="1:13" x14ac:dyDescent="0.3">
      <c r="A20" s="141"/>
      <c r="B20" s="138" t="str">
        <f>IF(A20="","",VLOOKUP(A20,'Database Lab+Equip'!$A:$D,2,FALSE))</f>
        <v/>
      </c>
      <c r="C20" s="142"/>
      <c r="D20" s="142"/>
      <c r="E20" s="140">
        <f>IF(A20="",0,VLOOKUP(A20,'Database Lab+Equip'!$A:$D,3,FALSE))</f>
        <v>0</v>
      </c>
      <c r="F20" s="140">
        <f>IF(A20="",0,VLOOKUP(A20,'Database Lab+Equip'!$A:$D,4,FALSE))</f>
        <v>0</v>
      </c>
      <c r="G20" s="140">
        <f t="shared" si="0"/>
        <v>0</v>
      </c>
      <c r="H20" s="140">
        <f t="shared" si="1"/>
        <v>0</v>
      </c>
      <c r="I20" s="140">
        <f t="shared" si="2"/>
        <v>0</v>
      </c>
      <c r="J20" s="84"/>
      <c r="K20" s="29"/>
      <c r="L20" s="122"/>
      <c r="M20" s="122"/>
    </row>
    <row r="21" spans="1:13" x14ac:dyDescent="0.3">
      <c r="A21" s="141"/>
      <c r="B21" s="138" t="str">
        <f>IF(A21="","",VLOOKUP(A21,'Database Lab+Equip'!$A:$D,2,FALSE))</f>
        <v/>
      </c>
      <c r="C21" s="142"/>
      <c r="D21" s="142"/>
      <c r="E21" s="140">
        <f>IF(A21="",0,VLOOKUP(A21,'Database Lab+Equip'!$A:$D,3,FALSE))</f>
        <v>0</v>
      </c>
      <c r="F21" s="140">
        <f>IF(A21="",0,VLOOKUP(A21,'Database Lab+Equip'!$A:$D,4,FALSE))</f>
        <v>0</v>
      </c>
      <c r="G21" s="140">
        <f t="shared" si="0"/>
        <v>0</v>
      </c>
      <c r="H21" s="140">
        <f t="shared" si="1"/>
        <v>0</v>
      </c>
      <c r="I21" s="140">
        <f t="shared" si="2"/>
        <v>0</v>
      </c>
      <c r="J21" s="84"/>
      <c r="K21" s="29"/>
      <c r="L21" s="122"/>
      <c r="M21" s="122"/>
    </row>
    <row r="22" spans="1:13" x14ac:dyDescent="0.3">
      <c r="A22" s="141"/>
      <c r="B22" s="138" t="str">
        <f>IF(A22="","",VLOOKUP(A22,'Database Lab+Equip'!$A:$D,2,FALSE))</f>
        <v/>
      </c>
      <c r="C22" s="142"/>
      <c r="D22" s="142"/>
      <c r="E22" s="140">
        <f>IF(A22="",0,VLOOKUP(A22,'Database Lab+Equip'!$A:$D,3,FALSE))</f>
        <v>0</v>
      </c>
      <c r="F22" s="140">
        <f>IF(A22="",0,VLOOKUP(A22,'Database Lab+Equip'!$A:$D,4,FALSE))</f>
        <v>0</v>
      </c>
      <c r="G22" s="140">
        <f>IF(A22="",0,C22*D22*E22)</f>
        <v>0</v>
      </c>
      <c r="H22" s="140">
        <f>IF(A22="",0,C22*D22*F22)</f>
        <v>0</v>
      </c>
      <c r="I22" s="140">
        <f t="shared" si="2"/>
        <v>0</v>
      </c>
      <c r="J22" s="152" t="s">
        <v>108</v>
      </c>
      <c r="K22" s="153" t="s">
        <v>109</v>
      </c>
      <c r="M22" s="132"/>
    </row>
    <row r="23" spans="1:13" x14ac:dyDescent="0.3">
      <c r="A23" s="62"/>
      <c r="B23" s="44"/>
      <c r="C23" s="44"/>
      <c r="D23" s="44"/>
      <c r="E23" s="140"/>
      <c r="F23" s="140"/>
      <c r="G23" s="21">
        <f>SUM(G11:G22)</f>
        <v>124480</v>
      </c>
      <c r="H23" s="21">
        <f>SUM(H11:H22)</f>
        <v>174272</v>
      </c>
      <c r="I23" s="21">
        <f>SUM(I11:I22)</f>
        <v>182985.60000000001</v>
      </c>
      <c r="J23" s="21">
        <f>G23</f>
        <v>124480</v>
      </c>
      <c r="K23" s="34">
        <f>I23</f>
        <v>182985.60000000001</v>
      </c>
      <c r="L23" s="154">
        <f>IF(J23=0,0,(K23-J23)/J23)</f>
        <v>0.47000000000000003</v>
      </c>
      <c r="M23" s="235">
        <f>SUM(I11:I22)-SUM(G11:G22)</f>
        <v>58505.600000000006</v>
      </c>
    </row>
    <row r="24" spans="1:13" x14ac:dyDescent="0.3">
      <c r="A24" s="63"/>
      <c r="B24" s="73"/>
      <c r="C24" s="15"/>
      <c r="D24" s="15"/>
      <c r="E24" s="15"/>
      <c r="F24" s="15"/>
      <c r="G24" s="15"/>
      <c r="H24" s="15"/>
      <c r="I24" s="19"/>
      <c r="J24" s="84"/>
      <c r="K24" s="29"/>
      <c r="L24" s="122"/>
      <c r="M24" s="122"/>
    </row>
    <row r="25" spans="1:13" ht="27.6" x14ac:dyDescent="0.3">
      <c r="A25" s="47" t="s">
        <v>96</v>
      </c>
      <c r="B25" s="53" t="s">
        <v>80</v>
      </c>
      <c r="C25" s="48" t="s">
        <v>47</v>
      </c>
      <c r="D25" s="48" t="s">
        <v>24</v>
      </c>
      <c r="E25" s="48" t="s">
        <v>98</v>
      </c>
      <c r="F25" s="48" t="s">
        <v>99</v>
      </c>
      <c r="G25" s="48" t="s">
        <v>22</v>
      </c>
      <c r="H25" s="49" t="s">
        <v>23</v>
      </c>
      <c r="I25" s="50" t="s">
        <v>100</v>
      </c>
      <c r="J25" s="145"/>
      <c r="K25" s="48"/>
      <c r="L25" s="124"/>
      <c r="M25" s="124"/>
    </row>
    <row r="26" spans="1:13" x14ac:dyDescent="0.3">
      <c r="A26" s="148"/>
      <c r="B26" s="71" t="str">
        <f>IF(A26="","",VLOOKUP(A26,'Database Lab+Equip'!$F:$I,2,FALSE))</f>
        <v/>
      </c>
      <c r="C26" s="139"/>
      <c r="D26" s="147"/>
      <c r="E26" s="140">
        <f>IF(A26="",0,VLOOKUP(A26,'Database Lab+Equip'!$F:$I,3,FALSE))</f>
        <v>0</v>
      </c>
      <c r="F26" s="140">
        <f>IF(A26="",0,VLOOKUP(A26,'Database Lab+Equip'!$F:$I,4,FALSE))</f>
        <v>0</v>
      </c>
      <c r="G26" s="140">
        <f t="shared" ref="G26:G32" si="3">IF(A26="",0,C26*D26*E26*E$7)</f>
        <v>0</v>
      </c>
      <c r="H26" s="140">
        <f t="shared" ref="H26:H32" si="4">IF(A26="",0,C26*D26*F26*E$7)</f>
        <v>0</v>
      </c>
      <c r="I26" s="140">
        <f>(H26*$M$8)+H26</f>
        <v>0</v>
      </c>
      <c r="J26" s="84"/>
      <c r="K26" s="29"/>
      <c r="L26" s="122"/>
      <c r="M26" s="84"/>
    </row>
    <row r="27" spans="1:13" x14ac:dyDescent="0.3">
      <c r="A27" s="148" t="s">
        <v>138</v>
      </c>
      <c r="B27" s="71" t="str">
        <f>IF(A27="","",VLOOKUP(A27,'Database Lab+Equip'!$F:$I,2,FALSE))</f>
        <v>Self Contained office/crib/toilet</v>
      </c>
      <c r="C27" s="142">
        <v>1</v>
      </c>
      <c r="D27" s="149">
        <v>1</v>
      </c>
      <c r="E27" s="140">
        <f>IF(A27="",0,VLOOKUP(A27,'Database Lab+Equip'!$F:$I,3,FALSE))</f>
        <v>204</v>
      </c>
      <c r="F27" s="140">
        <f>IF(A27="",0,VLOOKUP(A27,'Database Lab+Equip'!$F:$I,4,FALSE))</f>
        <v>285.59999999999997</v>
      </c>
      <c r="G27" s="140">
        <f>IF(A27="",0,C27*D27*E27*E$7)</f>
        <v>16320</v>
      </c>
      <c r="H27" s="140">
        <f>IF(A27="",0,C27*D27*F27*E$7)</f>
        <v>22847.999999999996</v>
      </c>
      <c r="I27" s="140">
        <f t="shared" ref="I27:I33" si="5">(H27*$M$8)+H27</f>
        <v>23990.399999999998</v>
      </c>
      <c r="J27" s="122"/>
      <c r="K27" s="29"/>
      <c r="L27" s="122"/>
      <c r="M27" s="122"/>
    </row>
    <row r="28" spans="1:13" x14ac:dyDescent="0.3">
      <c r="A28" s="148" t="s">
        <v>113</v>
      </c>
      <c r="B28" s="71" t="str">
        <f>IF(A28="","",VLOOKUP(A28,'Database Lab+Equip'!$F:$I,2,FALSE))</f>
        <v>Shindawa 15kVa Diesel Genset/Welder</v>
      </c>
      <c r="C28" s="142">
        <v>1</v>
      </c>
      <c r="D28" s="149">
        <v>1</v>
      </c>
      <c r="E28" s="140">
        <f>IF(A28="",0,VLOOKUP(A28,'Database Lab+Equip'!$F:$I,3,FALSE))</f>
        <v>35</v>
      </c>
      <c r="F28" s="140">
        <f>IF(A28="",0,VLOOKUP(A28,'Database Lab+Equip'!$F:$I,4,FALSE))</f>
        <v>63</v>
      </c>
      <c r="G28" s="140">
        <f>IF(A28="",0,C28*D28*E28*E$7)</f>
        <v>2800</v>
      </c>
      <c r="H28" s="140">
        <f>IF(A28="",0,C28*D28*F28*E$7)</f>
        <v>5040</v>
      </c>
      <c r="I28" s="140">
        <f t="shared" si="5"/>
        <v>5292</v>
      </c>
      <c r="J28" s="84"/>
      <c r="K28" s="29"/>
      <c r="L28" s="122"/>
      <c r="M28"/>
    </row>
    <row r="29" spans="1:13" x14ac:dyDescent="0.3">
      <c r="A29" s="148" t="s">
        <v>112</v>
      </c>
      <c r="B29" s="71" t="str">
        <f>IF(A29="","",VLOOKUP(A29,'Database Lab+Equip'!$F:$I,2,FALSE))</f>
        <v>Trailer Fuel 2,000L Tandem Axle</v>
      </c>
      <c r="C29" s="142">
        <v>1</v>
      </c>
      <c r="D29" s="149">
        <v>1</v>
      </c>
      <c r="E29" s="140">
        <f>IF(A29="",0,VLOOKUP(A29,'Database Lab+Equip'!$F:$I,3,FALSE))</f>
        <v>145</v>
      </c>
      <c r="F29" s="140">
        <f>IF(A29="",0,VLOOKUP(A29,'Database Lab+Equip'!$F:$I,4,FALSE))</f>
        <v>203</v>
      </c>
      <c r="G29" s="140">
        <f>IF(A29="",0,C29*D29*E29*E$7)</f>
        <v>11600</v>
      </c>
      <c r="H29" s="140">
        <f>IF(A29="",0,C29*D29*F29*E$7)</f>
        <v>16240</v>
      </c>
      <c r="I29" s="140">
        <f t="shared" si="5"/>
        <v>17052</v>
      </c>
      <c r="J29" s="84"/>
      <c r="K29" s="29"/>
      <c r="L29" s="122"/>
      <c r="M29" s="122"/>
    </row>
    <row r="30" spans="1:13" x14ac:dyDescent="0.3">
      <c r="A30" s="148" t="s">
        <v>132</v>
      </c>
      <c r="B30" s="71" t="str">
        <f>IF(A30="","",VLOOKUP(A30,'Database Lab+Equip'!$F:$I,2,FALSE))</f>
        <v>water trailer for compaction</v>
      </c>
      <c r="C30" s="142">
        <v>1</v>
      </c>
      <c r="D30" s="149">
        <v>1</v>
      </c>
      <c r="E30" s="140">
        <f>IF(A30="",0,VLOOKUP(A30,'Database Lab+Equip'!$F:$I,3,FALSE))</f>
        <v>120</v>
      </c>
      <c r="F30" s="140">
        <f>IF(A30="",0,VLOOKUP(A30,'Database Lab+Equip'!$F:$I,4,FALSE))</f>
        <v>168</v>
      </c>
      <c r="G30" s="140">
        <f t="shared" si="3"/>
        <v>9600</v>
      </c>
      <c r="H30" s="140">
        <f t="shared" si="4"/>
        <v>13440</v>
      </c>
      <c r="I30" s="140">
        <f t="shared" si="5"/>
        <v>14112</v>
      </c>
      <c r="J30" s="84"/>
      <c r="K30" s="29"/>
      <c r="L30" s="122"/>
      <c r="M30" s="122"/>
    </row>
    <row r="31" spans="1:13" x14ac:dyDescent="0.3">
      <c r="A31" s="148"/>
      <c r="B31" s="71" t="str">
        <f>IF(A31="","",VLOOKUP(A31,'Database Lab+Equip'!$F:$I,2,FALSE))</f>
        <v/>
      </c>
      <c r="C31" s="142"/>
      <c r="D31" s="149"/>
      <c r="E31" s="140">
        <f>IF(A31="",0,VLOOKUP(A31,'Database Lab+Equip'!$F:$I,3,FALSE))</f>
        <v>0</v>
      </c>
      <c r="F31" s="140">
        <f>IF(A31="",0,VLOOKUP(A31,'Database Lab+Equip'!$F:$I,4,FALSE))</f>
        <v>0</v>
      </c>
      <c r="G31" s="140">
        <f t="shared" si="3"/>
        <v>0</v>
      </c>
      <c r="H31" s="140">
        <f t="shared" si="4"/>
        <v>0</v>
      </c>
      <c r="I31" s="140">
        <f>(H31*$M$8)+H31</f>
        <v>0</v>
      </c>
      <c r="J31" s="84"/>
      <c r="K31" s="29"/>
      <c r="L31" s="122"/>
      <c r="M31" s="122"/>
    </row>
    <row r="32" spans="1:13" x14ac:dyDescent="0.3">
      <c r="A32" s="148"/>
      <c r="B32" s="71" t="str">
        <f>IF(A32="","",VLOOKUP(A32,'Database Lab+Equip'!$F:$I,2,FALSE))</f>
        <v/>
      </c>
      <c r="C32" s="142"/>
      <c r="D32" s="149"/>
      <c r="E32" s="140">
        <f>IF(A32="",0,VLOOKUP(A32,'Database Lab+Equip'!$F:$I,3,FALSE))</f>
        <v>0</v>
      </c>
      <c r="F32" s="140">
        <f>IF(A32="",0,VLOOKUP(A32,'Database Lab+Equip'!$F:$I,4,FALSE))</f>
        <v>0</v>
      </c>
      <c r="G32" s="140">
        <f t="shared" si="3"/>
        <v>0</v>
      </c>
      <c r="H32" s="140">
        <f t="shared" si="4"/>
        <v>0</v>
      </c>
      <c r="I32" s="140">
        <f t="shared" si="5"/>
        <v>0</v>
      </c>
      <c r="J32" s="84"/>
      <c r="K32" s="29"/>
      <c r="L32" s="122"/>
      <c r="M32" s="122"/>
    </row>
    <row r="33" spans="1:13" x14ac:dyDescent="0.3">
      <c r="A33" s="148"/>
      <c r="B33" s="71" t="str">
        <f>IF(A33="","",VLOOKUP(A33,'Database Lab+Equip'!$F:$I,2,FALSE))</f>
        <v/>
      </c>
      <c r="C33" s="150"/>
      <c r="D33" s="151"/>
      <c r="E33" s="140">
        <f>IF(A33="",0,VLOOKUP(A33,'Database Lab+Equip'!$F:$I,3,FALSE))</f>
        <v>0</v>
      </c>
      <c r="F33" s="140">
        <f>IF(A33="",0,VLOOKUP(A33,'Database Lab+Equip'!$F:$I,4,FALSE))</f>
        <v>0</v>
      </c>
      <c r="G33" s="140">
        <f>IF(A33="",0,C33*D33*E33)</f>
        <v>0</v>
      </c>
      <c r="H33" s="140">
        <f>IF(A33="",0,C33*D33*F33)</f>
        <v>0</v>
      </c>
      <c r="I33" s="140">
        <f t="shared" si="5"/>
        <v>0</v>
      </c>
      <c r="J33" s="152" t="s">
        <v>108</v>
      </c>
      <c r="K33" s="153" t="s">
        <v>109</v>
      </c>
      <c r="M33" s="132"/>
    </row>
    <row r="34" spans="1:13" x14ac:dyDescent="0.3">
      <c r="A34" s="61"/>
      <c r="B34" s="73"/>
      <c r="C34" s="16"/>
      <c r="D34" s="15"/>
      <c r="E34" s="122"/>
      <c r="F34" s="122"/>
      <c r="G34" s="21">
        <f>SUM(G26:G33)</f>
        <v>40320</v>
      </c>
      <c r="H34" s="21">
        <f>SUM(H26:H33)</f>
        <v>57568</v>
      </c>
      <c r="I34" s="21">
        <f>SUM(I26:I33)</f>
        <v>60446.399999999994</v>
      </c>
      <c r="J34" s="21">
        <f>G34</f>
        <v>40320</v>
      </c>
      <c r="K34" s="34">
        <f>I34</f>
        <v>60446.399999999994</v>
      </c>
      <c r="L34" s="160">
        <f>IF(J34=0,0,(K34-J34)/J34)</f>
        <v>0.49916666666666654</v>
      </c>
      <c r="M34" s="236">
        <f>SUM(I26:I33)-SUM(G26:G33)</f>
        <v>20126.399999999994</v>
      </c>
    </row>
    <row r="35" spans="1:13" x14ac:dyDescent="0.3">
      <c r="I35" s="26"/>
      <c r="J35" s="54"/>
      <c r="K35" s="34"/>
      <c r="L35" s="45"/>
    </row>
    <row r="36" spans="1:13" ht="27.6" x14ac:dyDescent="0.3">
      <c r="B36" s="65" t="s">
        <v>124</v>
      </c>
      <c r="C36" s="48" t="s">
        <v>47</v>
      </c>
      <c r="D36" s="48" t="s">
        <v>125</v>
      </c>
      <c r="E36" s="48" t="s">
        <v>98</v>
      </c>
      <c r="F36" s="48" t="s">
        <v>99</v>
      </c>
      <c r="G36" s="48" t="s">
        <v>22</v>
      </c>
      <c r="H36" s="49" t="s">
        <v>23</v>
      </c>
      <c r="I36" s="135" t="s">
        <v>100</v>
      </c>
      <c r="J36" s="54"/>
      <c r="K36" s="34"/>
      <c r="L36" s="45"/>
    </row>
    <row r="37" spans="1:13" x14ac:dyDescent="0.3">
      <c r="B37" s="167" t="s">
        <v>139</v>
      </c>
      <c r="C37" s="150">
        <v>1</v>
      </c>
      <c r="D37" s="15">
        <v>1</v>
      </c>
      <c r="E37" s="150">
        <v>5000</v>
      </c>
      <c r="F37" s="44">
        <f>E37*1.4</f>
        <v>7000</v>
      </c>
      <c r="G37" s="44">
        <f t="shared" ref="G37:G44" si="6">C37*D37*E37</f>
        <v>5000</v>
      </c>
      <c r="H37" s="44">
        <f t="shared" ref="H37:H44" si="7">C37*D37*F37</f>
        <v>7000</v>
      </c>
      <c r="I37" s="169">
        <f>(H37*$M$8)+H37</f>
        <v>7350</v>
      </c>
      <c r="J37" s="54"/>
      <c r="K37" s="34"/>
      <c r="L37" s="45"/>
    </row>
    <row r="38" spans="1:13" x14ac:dyDescent="0.3">
      <c r="B38" s="141" t="s">
        <v>140</v>
      </c>
      <c r="C38" s="142">
        <v>1</v>
      </c>
      <c r="D38" s="15">
        <v>1</v>
      </c>
      <c r="E38" s="142">
        <v>5000</v>
      </c>
      <c r="F38" s="44">
        <f t="shared" ref="F38:F44" si="8">E38*1.4</f>
        <v>7000</v>
      </c>
      <c r="G38" s="44">
        <f t="shared" si="6"/>
        <v>5000</v>
      </c>
      <c r="H38" s="44">
        <f t="shared" si="7"/>
        <v>7000</v>
      </c>
      <c r="I38" s="169">
        <f t="shared" ref="I38:I44" si="9">(H38*$M$8)+H38</f>
        <v>7350</v>
      </c>
      <c r="J38" s="26"/>
      <c r="K38" s="26"/>
      <c r="L38" s="45"/>
    </row>
    <row r="39" spans="1:13" x14ac:dyDescent="0.3">
      <c r="B39" s="141" t="s">
        <v>128</v>
      </c>
      <c r="C39" s="142">
        <v>1</v>
      </c>
      <c r="D39" s="15">
        <v>1</v>
      </c>
      <c r="E39" s="142">
        <v>7500</v>
      </c>
      <c r="F39" s="44">
        <f>E39*1.4</f>
        <v>10500</v>
      </c>
      <c r="G39" s="44">
        <f t="shared" si="6"/>
        <v>7500</v>
      </c>
      <c r="H39" s="44">
        <f t="shared" si="7"/>
        <v>10500</v>
      </c>
      <c r="I39" s="169">
        <f t="shared" si="9"/>
        <v>11025</v>
      </c>
      <c r="J39" s="26"/>
      <c r="K39" s="26"/>
      <c r="L39" s="45"/>
    </row>
    <row r="40" spans="1:13" x14ac:dyDescent="0.3">
      <c r="B40" s="141" t="s">
        <v>388</v>
      </c>
      <c r="C40" s="142">
        <v>1</v>
      </c>
      <c r="D40" s="15">
        <v>1</v>
      </c>
      <c r="E40" s="142">
        <v>13600</v>
      </c>
      <c r="F40" s="44">
        <f t="shared" si="8"/>
        <v>19040</v>
      </c>
      <c r="G40" s="44">
        <f t="shared" si="6"/>
        <v>13600</v>
      </c>
      <c r="H40" s="44">
        <f t="shared" si="7"/>
        <v>19040</v>
      </c>
      <c r="I40" s="169">
        <f t="shared" si="9"/>
        <v>19992</v>
      </c>
      <c r="J40" s="26"/>
      <c r="K40" s="26"/>
      <c r="L40" s="45"/>
    </row>
    <row r="41" spans="1:13" x14ac:dyDescent="0.3">
      <c r="B41" s="141"/>
      <c r="C41" s="142"/>
      <c r="D41" s="15">
        <v>1</v>
      </c>
      <c r="E41" s="142"/>
      <c r="F41" s="44">
        <f t="shared" si="8"/>
        <v>0</v>
      </c>
      <c r="G41" s="44">
        <f t="shared" si="6"/>
        <v>0</v>
      </c>
      <c r="H41" s="44">
        <f t="shared" si="7"/>
        <v>0</v>
      </c>
      <c r="I41" s="169">
        <f t="shared" si="9"/>
        <v>0</v>
      </c>
      <c r="J41" s="26"/>
      <c r="K41" s="26"/>
      <c r="L41" s="45"/>
    </row>
    <row r="42" spans="1:13" x14ac:dyDescent="0.3">
      <c r="B42" s="141"/>
      <c r="C42" s="142"/>
      <c r="D42" s="15">
        <v>1</v>
      </c>
      <c r="E42" s="142"/>
      <c r="F42" s="44">
        <f t="shared" si="8"/>
        <v>0</v>
      </c>
      <c r="G42" s="44">
        <f t="shared" si="6"/>
        <v>0</v>
      </c>
      <c r="H42" s="44">
        <f t="shared" si="7"/>
        <v>0</v>
      </c>
      <c r="I42" s="169">
        <f t="shared" si="9"/>
        <v>0</v>
      </c>
      <c r="J42" s="26"/>
      <c r="K42" s="26"/>
      <c r="L42" s="45"/>
    </row>
    <row r="43" spans="1:13" x14ac:dyDescent="0.3">
      <c r="B43" s="141"/>
      <c r="C43" s="142"/>
      <c r="D43" s="15">
        <v>1</v>
      </c>
      <c r="E43" s="142"/>
      <c r="F43" s="44">
        <f t="shared" si="8"/>
        <v>0</v>
      </c>
      <c r="G43" s="44">
        <f t="shared" si="6"/>
        <v>0</v>
      </c>
      <c r="H43" s="44">
        <f t="shared" si="7"/>
        <v>0</v>
      </c>
      <c r="I43" s="169">
        <f t="shared" si="9"/>
        <v>0</v>
      </c>
      <c r="J43" s="26"/>
      <c r="K43" s="26"/>
      <c r="L43" s="45"/>
    </row>
    <row r="44" spans="1:13" x14ac:dyDescent="0.3">
      <c r="B44" s="167"/>
      <c r="C44" s="150"/>
      <c r="D44" s="15">
        <v>1</v>
      </c>
      <c r="E44" s="150"/>
      <c r="F44" s="44">
        <f t="shared" si="8"/>
        <v>0</v>
      </c>
      <c r="G44" s="44">
        <f t="shared" si="6"/>
        <v>0</v>
      </c>
      <c r="H44" s="44">
        <f t="shared" si="7"/>
        <v>0</v>
      </c>
      <c r="I44" s="169">
        <f t="shared" si="9"/>
        <v>0</v>
      </c>
      <c r="J44" s="26"/>
      <c r="K44" s="26"/>
      <c r="L44" s="45"/>
    </row>
    <row r="45" spans="1:13" x14ac:dyDescent="0.3">
      <c r="B45"/>
      <c r="C45"/>
      <c r="D45"/>
      <c r="E45"/>
      <c r="F45"/>
      <c r="G45" s="21">
        <f>SUM(G37:G44)</f>
        <v>31100</v>
      </c>
      <c r="H45" s="21">
        <f>SUM(H37:H44)</f>
        <v>43540</v>
      </c>
      <c r="I45" s="352">
        <f>SUM(I37:I44)</f>
        <v>45717</v>
      </c>
      <c r="J45" s="26"/>
      <c r="K45" s="26"/>
      <c r="L45" s="45"/>
    </row>
    <row r="46" spans="1:13" x14ac:dyDescent="0.3">
      <c r="E46"/>
      <c r="F46"/>
      <c r="G46" s="21"/>
      <c r="H46" s="21"/>
      <c r="I46"/>
      <c r="J46" s="21">
        <f>G46</f>
        <v>0</v>
      </c>
      <c r="K46" s="34">
        <f>I45</f>
        <v>45717</v>
      </c>
      <c r="L46" s="163">
        <f>IF(J46=0,0,(K46-J46)/K46)</f>
        <v>0</v>
      </c>
      <c r="M46" s="237">
        <f>SUM(H37:H45)-SUM(F37:F45)</f>
        <v>43540</v>
      </c>
    </row>
    <row r="47" spans="1:13" x14ac:dyDescent="0.3">
      <c r="A47" s="110"/>
      <c r="B47" s="110"/>
      <c r="C47" s="97"/>
      <c r="D47" s="164"/>
      <c r="E47" s="165"/>
      <c r="F47" s="161"/>
      <c r="G47" s="97"/>
      <c r="H47" s="110"/>
      <c r="I47" s="166"/>
      <c r="J47" s="162">
        <f>J23+J34+J46</f>
        <v>164800</v>
      </c>
      <c r="K47" s="162">
        <f>K23+K34+K46</f>
        <v>289149</v>
      </c>
      <c r="L47" s="119">
        <f>IF(J47=0,0,(K47-J47)/K47)</f>
        <v>0.43005163427852078</v>
      </c>
      <c r="M47" s="238">
        <f>M23+M34</f>
        <v>78632</v>
      </c>
    </row>
    <row r="48" spans="1:13" x14ac:dyDescent="0.3">
      <c r="I48" s="54"/>
      <c r="J48" s="26"/>
    </row>
    <row r="49" spans="2:13" x14ac:dyDescent="0.3">
      <c r="B49" s="73"/>
      <c r="C49" s="16"/>
      <c r="D49" s="15"/>
      <c r="E49" s="15"/>
      <c r="F49" s="15"/>
      <c r="G49" s="54"/>
      <c r="J49" s="26"/>
    </row>
    <row r="50" spans="2:13" x14ac:dyDescent="0.3">
      <c r="J50" s="26"/>
    </row>
    <row r="51" spans="2:13" x14ac:dyDescent="0.3">
      <c r="J51" s="26"/>
    </row>
    <row r="52" spans="2:13" x14ac:dyDescent="0.3">
      <c r="J52" s="26"/>
    </row>
    <row r="53" spans="2:13" x14ac:dyDescent="0.3">
      <c r="J53" s="26"/>
    </row>
    <row r="54" spans="2:13" x14ac:dyDescent="0.3">
      <c r="J54"/>
      <c r="K54"/>
      <c r="L54"/>
      <c r="M54"/>
    </row>
    <row r="55" spans="2:13" x14ac:dyDescent="0.3">
      <c r="J55"/>
      <c r="K55"/>
      <c r="L55"/>
      <c r="M55"/>
    </row>
    <row r="56" spans="2:13" x14ac:dyDescent="0.3">
      <c r="J56"/>
      <c r="K56"/>
      <c r="L56"/>
      <c r="M56"/>
    </row>
    <row r="57" spans="2:13" x14ac:dyDescent="0.3">
      <c r="J57" s="54"/>
      <c r="K57" s="34"/>
    </row>
  </sheetData>
  <conditionalFormatting sqref="M46">
    <cfRule type="expression" dxfId="1" priority="1">
      <formula>AND(#REF!&gt;0,#REF!=0)</formula>
    </cfRule>
  </conditionalFormatting>
  <dataValidations count="1">
    <dataValidation type="list" allowBlank="1" showInputMessage="1" showErrorMessage="1" sqref="A24" xr:uid="{00000000-0002-0000-05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&amp;C&amp;"Calibri,Bold"&amp;11&amp;UBudget Estimate Template&amp;R&amp;G</oddHeader>
    <oddFooter>&amp;L&amp;F - &amp;A&amp;CPage &amp;P of &amp;N&amp;R&amp;D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prompt="Select labour or asset code from the Database tab_x000a_" xr:uid="{00000000-0002-0000-0500-000001000000}">
          <x14:formula1>
            <xm:f>'Database Lab+Equip'!$F:$F</xm:f>
          </x14:formula1>
          <xm:sqref>A26:A33</xm:sqref>
        </x14:dataValidation>
        <x14:dataValidation type="list" allowBlank="1" showInputMessage="1" showErrorMessage="1" prompt="Select labour or asset code from the Database tab_x000a_" xr:uid="{00000000-0002-0000-0500-000002000000}">
          <x14:formula1>
            <xm:f>'Database Lab+Equip'!$A:$A</xm:f>
          </x14:formula1>
          <xm:sqref>A11:A22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00B050"/>
    <pageSetUpPr fitToPage="1"/>
  </sheetPr>
  <dimension ref="A1:N394"/>
  <sheetViews>
    <sheetView zoomScale="85" zoomScaleNormal="85" workbookViewId="0">
      <pane ySplit="2" topLeftCell="A53" activePane="bottomLeft" state="frozen"/>
      <selection activeCell="D215" sqref="D215"/>
      <selection pane="bottomLeft" activeCell="J62" sqref="J62"/>
    </sheetView>
  </sheetViews>
  <sheetFormatPr defaultColWidth="9.21875" defaultRowHeight="12" customHeight="1" x14ac:dyDescent="0.3"/>
  <cols>
    <col min="1" max="1" width="20.77734375" style="72" customWidth="1"/>
    <col min="2" max="2" width="31.77734375" style="71" customWidth="1"/>
    <col min="3" max="3" width="12.77734375" style="132" customWidth="1"/>
    <col min="4" max="4" width="10.44140625" style="265" customWidth="1"/>
    <col min="5" max="6" width="11.21875" style="122" bestFit="1" customWidth="1"/>
    <col min="7" max="11" width="14.5546875" style="122" customWidth="1"/>
    <col min="12" max="12" width="11.21875" style="122" customWidth="1"/>
    <col min="13" max="13" width="39.44140625" style="122" customWidth="1"/>
    <col min="14" max="14" width="9.21875" style="132" customWidth="1"/>
    <col min="15" max="16384" width="9.21875" style="131"/>
  </cols>
  <sheetData>
    <row r="1" spans="1:13" ht="15.6" x14ac:dyDescent="0.3">
      <c r="B1" s="240" t="s">
        <v>29</v>
      </c>
    </row>
    <row r="2" spans="1:13" ht="14.4" x14ac:dyDescent="0.3">
      <c r="B2" s="35"/>
    </row>
    <row r="3" spans="1:13" s="31" customFormat="1" ht="13.8" x14ac:dyDescent="0.3">
      <c r="A3" s="112"/>
      <c r="B3" s="251"/>
      <c r="C3" s="252"/>
      <c r="D3" s="275"/>
      <c r="E3" s="215"/>
      <c r="F3" s="215"/>
      <c r="G3" s="216"/>
      <c r="H3" s="112"/>
      <c r="I3" s="217"/>
      <c r="J3" s="253"/>
      <c r="K3" s="253"/>
      <c r="L3" s="254"/>
      <c r="M3" s="213"/>
    </row>
    <row r="4" spans="1:13" ht="15.6" x14ac:dyDescent="0.3">
      <c r="B4" s="241" t="s">
        <v>386</v>
      </c>
      <c r="C4" s="239"/>
      <c r="D4" s="42"/>
      <c r="E4" s="239"/>
      <c r="F4" s="255"/>
      <c r="H4" s="132"/>
      <c r="I4" s="132"/>
      <c r="J4" s="31"/>
      <c r="K4" s="31"/>
      <c r="L4" s="93" t="s">
        <v>85</v>
      </c>
      <c r="M4" s="94"/>
    </row>
    <row r="5" spans="1:13" s="132" customFormat="1" ht="12" customHeight="1" x14ac:dyDescent="0.3">
      <c r="B5" s="59" t="s">
        <v>135</v>
      </c>
      <c r="C5" s="242"/>
      <c r="D5" s="266" t="s">
        <v>87</v>
      </c>
      <c r="E5" s="23"/>
      <c r="F5" s="133"/>
      <c r="H5" s="14"/>
      <c r="I5" s="14"/>
      <c r="J5" s="121"/>
      <c r="K5" s="121"/>
      <c r="L5" s="126" t="s">
        <v>88</v>
      </c>
      <c r="M5" s="243"/>
    </row>
    <row r="6" spans="1:13" s="132" customFormat="1" ht="12" customHeight="1" x14ac:dyDescent="0.3">
      <c r="B6" s="59" t="s">
        <v>141</v>
      </c>
      <c r="C6" s="25"/>
      <c r="D6" s="266" t="s">
        <v>89</v>
      </c>
      <c r="E6" s="23"/>
      <c r="J6" s="122"/>
      <c r="K6" s="121"/>
      <c r="L6" s="126" t="s">
        <v>90</v>
      </c>
      <c r="M6" s="243"/>
    </row>
    <row r="7" spans="1:13" s="132" customFormat="1" ht="12" customHeight="1" x14ac:dyDescent="0.3">
      <c r="B7" s="59" t="s">
        <v>142</v>
      </c>
      <c r="C7" s="27" t="str">
        <f>IF(C5="","",C5/E7+C6)</f>
        <v/>
      </c>
      <c r="D7" s="266" t="s">
        <v>91</v>
      </c>
      <c r="E7" s="23"/>
      <c r="I7" s="26"/>
      <c r="J7" s="29"/>
      <c r="K7" s="121"/>
      <c r="L7" s="126" t="s">
        <v>92</v>
      </c>
      <c r="M7" s="243"/>
    </row>
    <row r="8" spans="1:13" s="132" customFormat="1" ht="12" customHeight="1" x14ac:dyDescent="0.3">
      <c r="B8" s="59" t="s">
        <v>143</v>
      </c>
      <c r="C8" s="260"/>
      <c r="D8" s="266" t="s">
        <v>25</v>
      </c>
      <c r="E8" s="128">
        <f>SUM(C13:C17)</f>
        <v>2</v>
      </c>
      <c r="I8" s="26"/>
      <c r="J8" s="29"/>
      <c r="K8" s="121"/>
      <c r="L8" s="93" t="s">
        <v>94</v>
      </c>
      <c r="M8" s="94"/>
    </row>
    <row r="9" spans="1:13" s="132" customFormat="1" ht="12" customHeight="1" x14ac:dyDescent="0.3">
      <c r="B9" s="59" t="s">
        <v>144</v>
      </c>
      <c r="C9" s="25"/>
      <c r="D9" s="266" t="s">
        <v>44</v>
      </c>
      <c r="E9" s="244">
        <v>20</v>
      </c>
      <c r="I9" s="26"/>
      <c r="J9" s="29"/>
      <c r="K9" s="121"/>
      <c r="L9" s="57" t="s">
        <v>70</v>
      </c>
      <c r="M9" s="245">
        <v>0.05</v>
      </c>
    </row>
    <row r="10" spans="1:13" s="132" customFormat="1" ht="12" customHeight="1" x14ac:dyDescent="0.3">
      <c r="B10" s="28"/>
      <c r="C10" s="28"/>
      <c r="D10" s="43"/>
      <c r="H10" s="29"/>
      <c r="I10" s="29"/>
      <c r="J10" s="29"/>
      <c r="K10" s="29"/>
      <c r="L10" s="57" t="s">
        <v>80</v>
      </c>
      <c r="M10" s="245">
        <v>0.05</v>
      </c>
    </row>
    <row r="11" spans="1:13" s="132" customFormat="1" ht="12" customHeight="1" x14ac:dyDescent="0.3">
      <c r="B11" s="28"/>
      <c r="C11" s="28"/>
      <c r="D11" s="43"/>
      <c r="H11" s="29"/>
      <c r="I11" s="29"/>
      <c r="J11" s="29"/>
      <c r="K11" s="29"/>
      <c r="L11" s="122"/>
      <c r="M11" s="122"/>
    </row>
    <row r="12" spans="1:13" s="132" customFormat="1" ht="27.6" x14ac:dyDescent="0.3">
      <c r="A12" s="246" t="s">
        <v>145</v>
      </c>
      <c r="B12" s="246" t="s">
        <v>70</v>
      </c>
      <c r="C12" s="48" t="s">
        <v>47</v>
      </c>
      <c r="D12" s="135" t="s">
        <v>97</v>
      </c>
      <c r="E12" s="48" t="s">
        <v>98</v>
      </c>
      <c r="F12" s="48" t="s">
        <v>99</v>
      </c>
      <c r="G12" s="48" t="s">
        <v>22</v>
      </c>
      <c r="H12" s="48" t="s">
        <v>23</v>
      </c>
      <c r="I12" s="48" t="s">
        <v>100</v>
      </c>
      <c r="J12" s="124"/>
      <c r="K12" s="48"/>
      <c r="L12" s="48" t="s">
        <v>101</v>
      </c>
      <c r="M12" s="48" t="s">
        <v>0</v>
      </c>
    </row>
    <row r="13" spans="1:13" s="132" customFormat="1" ht="12" customHeight="1" x14ac:dyDescent="0.3">
      <c r="A13" s="137" t="s">
        <v>105</v>
      </c>
      <c r="B13" s="71" t="str">
        <f>IF(A13="","",VLOOKUP(A13,'Database Lab+Equip'!$A:$D,2,FALSE))</f>
        <v>Operator</v>
      </c>
      <c r="C13" s="142">
        <v>1</v>
      </c>
      <c r="D13" s="142">
        <v>12</v>
      </c>
      <c r="E13" s="140">
        <f>IF(A13="",0,VLOOKUP(A13,'Database Lab+Equip'!$A:$D,3,FALSE))</f>
        <v>90</v>
      </c>
      <c r="F13" s="140">
        <f>IF(A13="",0,VLOOKUP(A13,'Database Lab+Equip'!$A:$D,4,FALSE))</f>
        <v>125.99999999999999</v>
      </c>
      <c r="G13" s="140">
        <f>IF(A13="",0,C13*D13*E13*E$9)</f>
        <v>21600</v>
      </c>
      <c r="H13" s="140">
        <f>IF(A13="",0,C13*D13*F13*E$9)</f>
        <v>30239.999999999996</v>
      </c>
      <c r="I13" s="140">
        <f>(H13*$M$9)+H13</f>
        <v>31751.999999999996</v>
      </c>
      <c r="J13" s="84"/>
      <c r="K13" s="29"/>
      <c r="L13" s="122"/>
      <c r="M13" s="84"/>
    </row>
    <row r="14" spans="1:13" s="132" customFormat="1" ht="12" customHeight="1" x14ac:dyDescent="0.3">
      <c r="A14" s="137" t="s">
        <v>106</v>
      </c>
      <c r="B14" s="71" t="str">
        <f>IF(A14="","",VLOOKUP(A14,'Database Lab+Equip'!$A:$D,2,FALSE))</f>
        <v>Trades Assistant</v>
      </c>
      <c r="C14" s="142">
        <v>1</v>
      </c>
      <c r="D14" s="269">
        <v>12</v>
      </c>
      <c r="E14" s="140">
        <f>IF(A14="",0,VLOOKUP(A14,'Database Lab+Equip'!$A:$D,3,FALSE))</f>
        <v>85</v>
      </c>
      <c r="F14" s="140">
        <f>IF(A14="",0,VLOOKUP(A14,'Database Lab+Equip'!$A:$D,4,FALSE))</f>
        <v>118.99999999999999</v>
      </c>
      <c r="G14" s="140">
        <f>IF(A14="",0,C14*D14*E14*E$9)</f>
        <v>20400</v>
      </c>
      <c r="H14" s="140">
        <f>IF(A14="",0,C14*D14*F14*E$9)</f>
        <v>28559.999999999996</v>
      </c>
      <c r="I14" s="140">
        <f>(H14*$M$9)+H14</f>
        <v>29987.999999999996</v>
      </c>
      <c r="J14" s="84"/>
      <c r="K14" s="29"/>
      <c r="L14" s="122"/>
      <c r="M14" s="122"/>
    </row>
    <row r="15" spans="1:13" s="132" customFormat="1" ht="12" customHeight="1" x14ac:dyDescent="0.3">
      <c r="A15" s="137"/>
      <c r="B15" s="71" t="str">
        <f>IF(A15="","",VLOOKUP(A15,'Database Lab+Equip'!$A:$D,2,FALSE))</f>
        <v/>
      </c>
      <c r="C15" s="142"/>
      <c r="D15" s="269"/>
      <c r="E15" s="140">
        <f>IF(A15="",0,VLOOKUP(A15,'Database Lab+Equip'!$A:$D,3,FALSE))</f>
        <v>0</v>
      </c>
      <c r="F15" s="140">
        <f>IF(A15="",0,VLOOKUP(A15,'Database Lab+Equip'!$A:$D,4,FALSE))</f>
        <v>0</v>
      </c>
      <c r="G15" s="140">
        <f>IF(A15="",0,C15*D15*E15*E$9)</f>
        <v>0</v>
      </c>
      <c r="H15" s="140">
        <f>IF(A15="",0,C15*D15*F15*E$9)</f>
        <v>0</v>
      </c>
      <c r="I15" s="140">
        <f>(H15*$M$9)+H15</f>
        <v>0</v>
      </c>
      <c r="J15" s="84"/>
      <c r="K15" s="29"/>
      <c r="L15" s="122"/>
      <c r="M15" s="122"/>
    </row>
    <row r="16" spans="1:13" s="132" customFormat="1" ht="12" customHeight="1" x14ac:dyDescent="0.3">
      <c r="A16" s="137"/>
      <c r="B16" s="71" t="str">
        <f>IF(A16="","",VLOOKUP(A16,'Database Lab+Equip'!$A:$D,2,FALSE))</f>
        <v/>
      </c>
      <c r="C16" s="142"/>
      <c r="D16" s="269"/>
      <c r="E16" s="140">
        <f>IF(A16="",0,VLOOKUP(A16,'Database Lab+Equip'!$A:$D,3,FALSE))</f>
        <v>0</v>
      </c>
      <c r="F16" s="140">
        <f>IF(A16="",0,VLOOKUP(A16,'Database Lab+Equip'!$A:$D,4,FALSE))</f>
        <v>0</v>
      </c>
      <c r="G16" s="140">
        <f>IF(A16="",0,C16*D16*E16*E$9)</f>
        <v>0</v>
      </c>
      <c r="H16" s="140">
        <f>IF(A16="",0,C16*D16*F16*E$9)</f>
        <v>0</v>
      </c>
      <c r="I16" s="140">
        <f>(H16*$M$9)+H16</f>
        <v>0</v>
      </c>
      <c r="J16" s="84"/>
      <c r="K16" s="29"/>
      <c r="L16" s="122"/>
      <c r="M16" s="122"/>
    </row>
    <row r="17" spans="1:14" s="132" customFormat="1" ht="12" customHeight="1" x14ac:dyDescent="0.3">
      <c r="A17" s="137"/>
      <c r="B17" s="71" t="str">
        <f>IF(A17="","",VLOOKUP(A17,'Database Lab+Equip'!$A:$D,2,FALSE))</f>
        <v/>
      </c>
      <c r="C17" s="142"/>
      <c r="D17" s="269"/>
      <c r="E17" s="140">
        <f>IF(A17="",0,VLOOKUP(A17,'Database Lab+Equip'!$A:$D,3,FALSE))</f>
        <v>0</v>
      </c>
      <c r="F17" s="140">
        <f>IF(A17="",0,VLOOKUP(A17,'Database Lab+Equip'!$A:$D,4,FALSE))</f>
        <v>0</v>
      </c>
      <c r="G17" s="140">
        <f>IF(A17="",0,C17*D17*E17*E$9)</f>
        <v>0</v>
      </c>
      <c r="H17" s="140">
        <f>IF(A17="",0,C17*D17*F17*E$9)</f>
        <v>0</v>
      </c>
      <c r="I17" s="140">
        <f>(H17*$M$9)+H17</f>
        <v>0</v>
      </c>
      <c r="J17" s="152" t="s">
        <v>108</v>
      </c>
      <c r="K17" s="153" t="s">
        <v>109</v>
      </c>
      <c r="L17" s="31"/>
      <c r="M17" s="123">
        <f>SUM(I13:I17)-SUM(G13:G17)</f>
        <v>19739.999999999993</v>
      </c>
    </row>
    <row r="18" spans="1:14" s="132" customFormat="1" ht="12" customHeight="1" x14ac:dyDescent="0.3">
      <c r="A18" s="35"/>
      <c r="C18" s="140"/>
      <c r="D18" s="270"/>
      <c r="E18" s="140"/>
      <c r="F18" s="140"/>
      <c r="G18" s="21">
        <f>SUM(G13:G17)</f>
        <v>42000</v>
      </c>
      <c r="H18" s="21">
        <f>SUM(H13:H17)</f>
        <v>58799.999999999993</v>
      </c>
      <c r="I18" s="21">
        <f>SUM(I13:I17)</f>
        <v>61739.999999999993</v>
      </c>
      <c r="J18" s="21">
        <f>G18</f>
        <v>42000</v>
      </c>
      <c r="K18" s="34">
        <f>I18</f>
        <v>61739.999999999993</v>
      </c>
      <c r="L18" s="247">
        <f>IF(J18=0,0,(K18-J18)/J18)</f>
        <v>0.46999999999999981</v>
      </c>
      <c r="M18" s="122"/>
    </row>
    <row r="19" spans="1:14" s="132" customFormat="1" ht="12" customHeight="1" x14ac:dyDescent="0.3">
      <c r="A19" s="35"/>
      <c r="B19" s="71"/>
      <c r="C19" s="122"/>
      <c r="D19" s="265"/>
      <c r="E19" s="122"/>
      <c r="F19" s="122"/>
      <c r="G19" s="122"/>
      <c r="H19" s="122"/>
      <c r="I19" s="144"/>
      <c r="J19" s="84"/>
      <c r="K19" s="29"/>
      <c r="L19" s="122"/>
      <c r="M19" s="122"/>
    </row>
    <row r="20" spans="1:14" s="132" customFormat="1" ht="41.4" x14ac:dyDescent="0.3">
      <c r="A20" s="246" t="s">
        <v>96</v>
      </c>
      <c r="B20" s="246" t="s">
        <v>80</v>
      </c>
      <c r="C20" s="48" t="s">
        <v>47</v>
      </c>
      <c r="D20" s="135" t="s">
        <v>110</v>
      </c>
      <c r="E20" s="48" t="s">
        <v>98</v>
      </c>
      <c r="F20" s="48" t="s">
        <v>99</v>
      </c>
      <c r="G20" s="48" t="s">
        <v>22</v>
      </c>
      <c r="H20" s="48" t="s">
        <v>23</v>
      </c>
      <c r="I20" s="48" t="s">
        <v>100</v>
      </c>
      <c r="J20" s="145"/>
      <c r="K20" s="48"/>
      <c r="L20" s="124"/>
      <c r="M20" s="124"/>
    </row>
    <row r="21" spans="1:14" s="132" customFormat="1" ht="12" customHeight="1" x14ac:dyDescent="0.3">
      <c r="A21" s="148" t="s">
        <v>120</v>
      </c>
      <c r="B21" s="71" t="str">
        <f>IF(A21="","",VLOOKUP(A21,'Database Lab+Equip'!$F:$I,2,FALSE))</f>
        <v>WA320</v>
      </c>
      <c r="C21" s="139">
        <v>1</v>
      </c>
      <c r="D21" s="271">
        <v>1</v>
      </c>
      <c r="E21" s="140">
        <f>IF(A21="",0,VLOOKUP(A21,'Database Lab+Equip'!$F:$I,3,FALSE))</f>
        <v>400</v>
      </c>
      <c r="F21" s="140">
        <f>IF(A21="",0,VLOOKUP(A21,'Database Lab+Equip'!$F:$I,4,FALSE))</f>
        <v>720</v>
      </c>
      <c r="G21" s="140">
        <f>IF(A21="",0,C21*D21*E21*E$9)</f>
        <v>8000</v>
      </c>
      <c r="H21" s="140">
        <f>IF(A21="",0,C21*D21*F21*E$9)</f>
        <v>14400</v>
      </c>
      <c r="I21" s="140">
        <f>(H21*$M$10)+H21</f>
        <v>15120</v>
      </c>
      <c r="J21" s="84"/>
      <c r="K21" s="29"/>
      <c r="L21" s="122"/>
      <c r="M21" s="84"/>
    </row>
    <row r="22" spans="1:14" s="132" customFormat="1" ht="12" customHeight="1" x14ac:dyDescent="0.3">
      <c r="A22" s="148" t="s">
        <v>111</v>
      </c>
      <c r="B22" s="71" t="str">
        <f>IF(A22="","",VLOOKUP(A22,'Database Lab+Equip'!$F:$I,2,FALSE))</f>
        <v>Light 4WD Vehicle - D/Cab Ute</v>
      </c>
      <c r="C22" s="142">
        <v>1</v>
      </c>
      <c r="D22" s="272">
        <v>1</v>
      </c>
      <c r="E22" s="140">
        <f>IF(A22="",0,VLOOKUP(A22,'Database Lab+Equip'!$F:$I,3,FALSE))</f>
        <v>120</v>
      </c>
      <c r="F22" s="140">
        <f>IF(A22="",0,VLOOKUP(A22,'Database Lab+Equip'!$F:$I,4,FALSE))</f>
        <v>216</v>
      </c>
      <c r="G22" s="140">
        <f t="shared" ref="G22:G27" si="0">IF(A22="",0,C22*D22*E22*E$9)</f>
        <v>2400</v>
      </c>
      <c r="H22" s="140">
        <f t="shared" ref="H22:H27" si="1">IF(A22="",0,C22*D22*F22*E$9)</f>
        <v>4320</v>
      </c>
      <c r="I22" s="140">
        <f t="shared" ref="I22:I27" si="2">(H22*$M$10)+H22</f>
        <v>4536</v>
      </c>
      <c r="J22" s="122"/>
      <c r="K22" s="29"/>
      <c r="L22" s="122"/>
      <c r="M22" s="122"/>
    </row>
    <row r="23" spans="1:14" s="132" customFormat="1" ht="12" customHeight="1" x14ac:dyDescent="0.3">
      <c r="A23" s="314" t="s">
        <v>122</v>
      </c>
      <c r="B23" s="71" t="str">
        <f>IF(A23="","",VLOOKUP(A23,'Database Lab+Equip'!$F:$I,2,FALSE))</f>
        <v xml:space="preserve">pipe donkey </v>
      </c>
      <c r="C23" s="142">
        <v>1</v>
      </c>
      <c r="D23" s="272">
        <v>1</v>
      </c>
      <c r="E23" s="140">
        <f>IF(A23="",0,VLOOKUP(A23,'Database Lab+Equip'!$F:$I,3,FALSE))</f>
        <v>100</v>
      </c>
      <c r="F23" s="140">
        <f>IF(A23="",0,VLOOKUP(A23,'Database Lab+Equip'!$F:$I,4,FALSE))</f>
        <v>180</v>
      </c>
      <c r="G23" s="140">
        <f t="shared" si="0"/>
        <v>2000</v>
      </c>
      <c r="H23" s="140">
        <f t="shared" si="1"/>
        <v>3600</v>
      </c>
      <c r="I23" s="140">
        <f t="shared" si="2"/>
        <v>3780</v>
      </c>
      <c r="J23" s="84"/>
      <c r="K23" s="29"/>
      <c r="L23" s="122"/>
      <c r="M23" s="122"/>
    </row>
    <row r="24" spans="1:14" s="132" customFormat="1" ht="12" customHeight="1" x14ac:dyDescent="0.3">
      <c r="A24" s="314"/>
      <c r="B24" s="71" t="str">
        <f>IF(A24="","",VLOOKUP(A24,'Database Lab+Equip'!$F:$I,2,FALSE))</f>
        <v/>
      </c>
      <c r="C24" s="142"/>
      <c r="D24" s="272"/>
      <c r="E24" s="140">
        <f>IF(A24="",0,VLOOKUP(A24,'Database Lab+Equip'!$F:$I,3,FALSE))</f>
        <v>0</v>
      </c>
      <c r="F24" s="140">
        <f>IF(A24="",0,VLOOKUP(A24,'Database Lab+Equip'!$F:$I,4,FALSE))</f>
        <v>0</v>
      </c>
      <c r="G24" s="140">
        <f t="shared" si="0"/>
        <v>0</v>
      </c>
      <c r="H24" s="140">
        <f t="shared" si="1"/>
        <v>0</v>
      </c>
      <c r="I24" s="140">
        <f t="shared" si="2"/>
        <v>0</v>
      </c>
      <c r="J24" s="84"/>
      <c r="K24" s="29"/>
      <c r="L24" s="122"/>
      <c r="M24" s="122"/>
    </row>
    <row r="25" spans="1:14" s="132" customFormat="1" ht="12" customHeight="1" x14ac:dyDescent="0.3">
      <c r="A25" s="148"/>
      <c r="B25" s="71" t="str">
        <f>IF(A25="","",VLOOKUP(A25,'Database Lab+Equip'!$F:$I,2,FALSE))</f>
        <v/>
      </c>
      <c r="C25" s="142"/>
      <c r="D25" s="272"/>
      <c r="E25" s="140">
        <f>IF(A25="",0,VLOOKUP(A25,'Database Lab+Equip'!$F:$I,3,FALSE))</f>
        <v>0</v>
      </c>
      <c r="F25" s="140">
        <f>IF(A25="",0,VLOOKUP(A25,'Database Lab+Equip'!$F:$I,4,FALSE))</f>
        <v>0</v>
      </c>
      <c r="G25" s="140">
        <f t="shared" si="0"/>
        <v>0</v>
      </c>
      <c r="H25" s="140">
        <f t="shared" si="1"/>
        <v>0</v>
      </c>
      <c r="I25" s="140">
        <f t="shared" si="2"/>
        <v>0</v>
      </c>
      <c r="J25" s="84"/>
      <c r="K25" s="29"/>
      <c r="L25" s="122"/>
      <c r="M25" s="122"/>
    </row>
    <row r="26" spans="1:14" s="132" customFormat="1" ht="12" customHeight="1" x14ac:dyDescent="0.3">
      <c r="A26" s="148"/>
      <c r="B26" s="71" t="str">
        <f>IF(A26="","",VLOOKUP(A26,'Database Lab+Equip'!$F:$I,2,FALSE))</f>
        <v/>
      </c>
      <c r="C26" s="142"/>
      <c r="D26" s="272"/>
      <c r="E26" s="140">
        <f>IF(A26="",0,VLOOKUP(A26,'Database Lab+Equip'!$F:$I,3,FALSE))</f>
        <v>0</v>
      </c>
      <c r="F26" s="140">
        <f>IF(A26="",0,VLOOKUP(A26,'Database Lab+Equip'!$F:$I,4,FALSE))</f>
        <v>0</v>
      </c>
      <c r="G26" s="140">
        <f t="shared" si="0"/>
        <v>0</v>
      </c>
      <c r="H26" s="140">
        <f t="shared" si="1"/>
        <v>0</v>
      </c>
      <c r="I26" s="140">
        <f t="shared" si="2"/>
        <v>0</v>
      </c>
      <c r="J26" s="84"/>
      <c r="K26" s="29"/>
      <c r="L26" s="122"/>
      <c r="M26" s="122"/>
    </row>
    <row r="27" spans="1:14" s="132" customFormat="1" ht="12" customHeight="1" x14ac:dyDescent="0.3">
      <c r="A27" s="148"/>
      <c r="B27" s="71" t="str">
        <f>IF(A27="","",VLOOKUP(A27,'Database Lab+Equip'!$F:$I,2,FALSE))</f>
        <v/>
      </c>
      <c r="C27" s="150"/>
      <c r="D27" s="273"/>
      <c r="E27" s="140">
        <f>IF(A27="",0,VLOOKUP(A27,'Database Lab+Equip'!$F:$I,3,FALSE))</f>
        <v>0</v>
      </c>
      <c r="F27" s="140">
        <f>IF(A27="",0,VLOOKUP(A27,'Database Lab+Equip'!$F:$I,4,FALSE))</f>
        <v>0</v>
      </c>
      <c r="G27" s="140">
        <f t="shared" si="0"/>
        <v>0</v>
      </c>
      <c r="H27" s="140">
        <f t="shared" si="1"/>
        <v>0</v>
      </c>
      <c r="I27" s="140">
        <f t="shared" si="2"/>
        <v>0</v>
      </c>
      <c r="J27" s="84"/>
      <c r="K27" s="29"/>
      <c r="L27" s="122"/>
      <c r="M27" s="122"/>
    </row>
    <row r="28" spans="1:14" s="132" customFormat="1" ht="12" customHeight="1" x14ac:dyDescent="0.3">
      <c r="A28" s="148"/>
      <c r="B28" s="71" t="str">
        <f>IF(A28="","",VLOOKUP(A28,'Database Lab+Equip'!$F:$I,2,FALSE))</f>
        <v/>
      </c>
      <c r="C28" s="150"/>
      <c r="D28" s="273"/>
      <c r="E28" s="140">
        <f>IF(A28="",0,VLOOKUP(A28,'Database Lab+Equip'!$F:$I,3,FALSE))</f>
        <v>0</v>
      </c>
      <c r="F28" s="140">
        <f>IF(A28="",0,VLOOKUP(A28,'Database Lab+Equip'!$F:$I,4,FALSE))</f>
        <v>0</v>
      </c>
      <c r="G28" s="140">
        <f>IF(A28="",0,C28*D28*E28*E$9)</f>
        <v>0</v>
      </c>
      <c r="H28" s="140">
        <f>IF(A28="",0,C28*D28*F28*E$9)</f>
        <v>0</v>
      </c>
      <c r="I28" s="140">
        <f>(H28*$M$10)+H28</f>
        <v>0</v>
      </c>
      <c r="J28" s="152" t="s">
        <v>108</v>
      </c>
      <c r="K28" s="153" t="s">
        <v>109</v>
      </c>
      <c r="L28" s="31"/>
      <c r="M28" s="125">
        <f>SUM(I21:I28)-SUM(G21:G28)</f>
        <v>11036</v>
      </c>
    </row>
    <row r="29" spans="1:14" s="132" customFormat="1" ht="12" customHeight="1" x14ac:dyDescent="0.3">
      <c r="A29" s="72"/>
      <c r="B29" s="71"/>
      <c r="D29" s="265"/>
      <c r="E29" s="122"/>
      <c r="F29" s="122"/>
      <c r="G29" s="21">
        <f>SUM(G21:G28)</f>
        <v>12400</v>
      </c>
      <c r="H29" s="21">
        <f>SUM(H21:H28)</f>
        <v>22320</v>
      </c>
      <c r="I29" s="21">
        <f>SUM(I21:I28)</f>
        <v>23436</v>
      </c>
      <c r="J29" s="21">
        <f>G29</f>
        <v>12400</v>
      </c>
      <c r="K29" s="34">
        <f>I29</f>
        <v>23436</v>
      </c>
      <c r="L29" s="256">
        <f>IF(J29=0,0,(K29-J29)/J29)</f>
        <v>0.89</v>
      </c>
      <c r="M29" s="187">
        <f>M17+M28</f>
        <v>30775.999999999993</v>
      </c>
    </row>
    <row r="30" spans="1:14" s="31" customFormat="1" ht="13.8" x14ac:dyDescent="0.3">
      <c r="B30" s="248"/>
      <c r="C30" s="17"/>
      <c r="D30" s="276"/>
      <c r="E30" s="15"/>
      <c r="F30" s="15"/>
      <c r="G30" s="54"/>
      <c r="I30" s="157"/>
      <c r="J30" s="249">
        <f>J18+J29</f>
        <v>54400</v>
      </c>
      <c r="K30" s="249">
        <f>K18+K29</f>
        <v>85176</v>
      </c>
      <c r="L30" s="250">
        <f>IF(J30=0,0,(K30-J30)/K30)</f>
        <v>0.36132243824551519</v>
      </c>
      <c r="M30" s="208"/>
    </row>
    <row r="31" spans="1:14" s="31" customFormat="1" ht="13.8" x14ac:dyDescent="0.3">
      <c r="A31" s="112"/>
      <c r="B31" s="251"/>
      <c r="C31" s="252"/>
      <c r="D31" s="275"/>
      <c r="E31" s="215"/>
      <c r="F31" s="215"/>
      <c r="G31" s="216"/>
      <c r="H31" s="112"/>
      <c r="I31" s="217"/>
      <c r="J31" s="218"/>
      <c r="K31" s="218"/>
      <c r="L31" s="254"/>
      <c r="M31" s="213"/>
    </row>
    <row r="32" spans="1:14" ht="15.6" x14ac:dyDescent="0.3">
      <c r="B32" s="344" t="s">
        <v>379</v>
      </c>
      <c r="C32" s="239"/>
      <c r="D32" s="42"/>
      <c r="E32" s="239"/>
      <c r="F32" s="255"/>
      <c r="H32" s="132"/>
      <c r="I32" s="132"/>
      <c r="L32" s="93" t="s">
        <v>85</v>
      </c>
      <c r="M32" s="94"/>
      <c r="N32" s="131"/>
    </row>
    <row r="33" spans="1:13" s="132" customFormat="1" ht="12" customHeight="1" x14ac:dyDescent="0.3">
      <c r="B33" s="59" t="s">
        <v>135</v>
      </c>
      <c r="C33" s="242">
        <v>3000</v>
      </c>
      <c r="D33" s="266" t="s">
        <v>87</v>
      </c>
      <c r="E33" s="23">
        <v>560</v>
      </c>
      <c r="F33" s="133"/>
      <c r="H33" s="14"/>
      <c r="I33" s="14"/>
      <c r="J33" s="121"/>
      <c r="K33" s="121"/>
      <c r="L33" s="126" t="s">
        <v>88</v>
      </c>
      <c r="M33" s="243"/>
    </row>
    <row r="34" spans="1:13" s="132" customFormat="1" ht="12" customHeight="1" x14ac:dyDescent="0.3">
      <c r="B34" s="59" t="s">
        <v>141</v>
      </c>
      <c r="C34" s="25">
        <v>1</v>
      </c>
      <c r="D34" s="266" t="s">
        <v>89</v>
      </c>
      <c r="E34" s="23" t="s">
        <v>147</v>
      </c>
      <c r="J34" s="122"/>
      <c r="K34" s="121"/>
      <c r="L34" s="126" t="s">
        <v>90</v>
      </c>
      <c r="M34" s="243"/>
    </row>
    <row r="35" spans="1:13" s="132" customFormat="1" ht="12" customHeight="1" x14ac:dyDescent="0.3">
      <c r="B35" s="59" t="s">
        <v>142</v>
      </c>
      <c r="C35" s="27">
        <f>IF(C33="","",C33/E35+C34)</f>
        <v>151</v>
      </c>
      <c r="D35" s="266" t="s">
        <v>91</v>
      </c>
      <c r="E35" s="23">
        <v>20</v>
      </c>
      <c r="I35" s="26"/>
      <c r="J35" s="29"/>
      <c r="K35" s="121"/>
      <c r="L35" s="126" t="s">
        <v>92</v>
      </c>
      <c r="M35" s="243"/>
    </row>
    <row r="36" spans="1:13" s="132" customFormat="1" ht="12" customHeight="1" x14ac:dyDescent="0.3">
      <c r="B36" s="59" t="s">
        <v>143</v>
      </c>
      <c r="C36" s="25">
        <v>2.7</v>
      </c>
      <c r="D36" s="266" t="s">
        <v>25</v>
      </c>
      <c r="E36" s="128">
        <f>SUM(C41:C45)</f>
        <v>3</v>
      </c>
      <c r="I36" s="26"/>
      <c r="J36" s="29"/>
      <c r="K36" s="121"/>
      <c r="L36" s="93" t="s">
        <v>94</v>
      </c>
      <c r="M36" s="94"/>
    </row>
    <row r="37" spans="1:13" s="132" customFormat="1" ht="12" customHeight="1" x14ac:dyDescent="0.3">
      <c r="B37" s="59" t="s">
        <v>144</v>
      </c>
      <c r="C37" s="25">
        <v>10</v>
      </c>
      <c r="D37" s="266" t="s">
        <v>44</v>
      </c>
      <c r="E37" s="244">
        <v>6</v>
      </c>
      <c r="I37" s="26"/>
      <c r="J37" s="29"/>
      <c r="K37" s="121"/>
      <c r="L37" s="57" t="s">
        <v>70</v>
      </c>
      <c r="M37" s="245">
        <v>0.05</v>
      </c>
    </row>
    <row r="38" spans="1:13" s="132" customFormat="1" ht="12" customHeight="1" x14ac:dyDescent="0.3">
      <c r="B38" s="28"/>
      <c r="C38" s="122"/>
      <c r="D38" s="267"/>
      <c r="E38" s="211"/>
      <c r="I38" s="26"/>
      <c r="J38" s="29"/>
      <c r="K38" s="121"/>
      <c r="L38" s="57" t="s">
        <v>80</v>
      </c>
      <c r="M38" s="245">
        <v>0.05</v>
      </c>
    </row>
    <row r="39" spans="1:13" s="132" customFormat="1" ht="12" customHeight="1" x14ac:dyDescent="0.3">
      <c r="B39" s="28"/>
      <c r="C39" s="28"/>
      <c r="D39" s="43"/>
      <c r="H39" s="29"/>
      <c r="I39" s="29"/>
      <c r="J39" s="29"/>
      <c r="K39" s="29"/>
      <c r="L39" s="122"/>
      <c r="M39" s="122"/>
    </row>
    <row r="40" spans="1:13" s="132" customFormat="1" ht="27.6" x14ac:dyDescent="0.3">
      <c r="A40" s="246" t="s">
        <v>145</v>
      </c>
      <c r="B40" s="246" t="s">
        <v>70</v>
      </c>
      <c r="C40" s="48" t="s">
        <v>47</v>
      </c>
      <c r="D40" s="135" t="s">
        <v>97</v>
      </c>
      <c r="E40" s="48" t="s">
        <v>98</v>
      </c>
      <c r="F40" s="48" t="s">
        <v>99</v>
      </c>
      <c r="G40" s="48" t="s">
        <v>22</v>
      </c>
      <c r="H40" s="48" t="s">
        <v>23</v>
      </c>
      <c r="I40" s="48" t="s">
        <v>100</v>
      </c>
      <c r="J40" s="124"/>
      <c r="K40" s="48"/>
      <c r="L40" s="48" t="s">
        <v>101</v>
      </c>
      <c r="M40" s="48" t="s">
        <v>0</v>
      </c>
    </row>
    <row r="41" spans="1:13" s="132" customFormat="1" ht="12" customHeight="1" x14ac:dyDescent="0.3">
      <c r="A41" s="137" t="s">
        <v>103</v>
      </c>
      <c r="B41" s="71" t="str">
        <f>IF(A41="","",VLOOKUP(A41,'Database Lab+Equip'!$A:$D,2,FALSE))</f>
        <v>Polywelder</v>
      </c>
      <c r="C41" s="142">
        <v>2</v>
      </c>
      <c r="D41" s="269">
        <v>12</v>
      </c>
      <c r="E41" s="140">
        <f>IF(A41="",0,VLOOKUP(A41,'Database Lab+Equip'!$A:$D,3,FALSE))</f>
        <v>90</v>
      </c>
      <c r="F41" s="140">
        <f>IF(A41="",0,VLOOKUP(A41,'Database Lab+Equip'!$A:$D,4,FALSE))</f>
        <v>125.99999999999999</v>
      </c>
      <c r="G41" s="140">
        <f>IF(A41="",0,C41*D41*E41*E$37)</f>
        <v>12960</v>
      </c>
      <c r="H41" s="140">
        <f>IF(A41="",0,C41*D41*F41*E$37)</f>
        <v>18143.999999999996</v>
      </c>
      <c r="I41" s="140">
        <f>(H41*$M$37)+H41</f>
        <v>19051.199999999997</v>
      </c>
      <c r="J41" s="84"/>
      <c r="K41" s="29"/>
      <c r="L41" s="122"/>
      <c r="M41" s="84"/>
    </row>
    <row r="42" spans="1:13" s="132" customFormat="1" ht="12" customHeight="1" x14ac:dyDescent="0.3">
      <c r="A42" s="137" t="s">
        <v>105</v>
      </c>
      <c r="B42" s="71" t="str">
        <f>IF(A42="","",VLOOKUP(A42,'Database Lab+Equip'!$A:$D,2,FALSE))</f>
        <v>Operator</v>
      </c>
      <c r="C42" s="142">
        <v>1</v>
      </c>
      <c r="D42" s="269">
        <v>12</v>
      </c>
      <c r="E42" s="140">
        <f>IF(A42="",0,VLOOKUP(A42,'Database Lab+Equip'!$A:$D,3,FALSE))</f>
        <v>90</v>
      </c>
      <c r="F42" s="140">
        <f>IF(A42="",0,VLOOKUP(A42,'Database Lab+Equip'!$A:$D,4,FALSE))</f>
        <v>125.99999999999999</v>
      </c>
      <c r="G42" s="140">
        <f>IF(A42="",0,C42*D42*E42*E$37)</f>
        <v>6480</v>
      </c>
      <c r="H42" s="140">
        <f>IF(A42="",0,C42*D42*F42*E$37)</f>
        <v>9071.9999999999982</v>
      </c>
      <c r="I42" s="140">
        <f>(H42*$M$37)+H42</f>
        <v>9525.5999999999985</v>
      </c>
      <c r="J42" s="84"/>
      <c r="K42" s="29"/>
      <c r="L42" s="122"/>
      <c r="M42" s="122"/>
    </row>
    <row r="43" spans="1:13" s="132" customFormat="1" ht="12" customHeight="1" x14ac:dyDescent="0.3">
      <c r="A43" s="137"/>
      <c r="B43" s="71" t="str">
        <f>IF(A43="","",VLOOKUP(A43,'Database Lab+Equip'!$A:$D,2,FALSE))</f>
        <v/>
      </c>
      <c r="C43" s="142"/>
      <c r="D43" s="269"/>
      <c r="E43" s="140">
        <f>IF(A43="",0,VLOOKUP(A43,'Database Lab+Equip'!$A:$D,3,FALSE))</f>
        <v>0</v>
      </c>
      <c r="F43" s="140">
        <f>IF(A43="",0,VLOOKUP(A43,'Database Lab+Equip'!$A:$D,4,FALSE))</f>
        <v>0</v>
      </c>
      <c r="G43" s="140">
        <f>IF(A43="",0,C43*D43*E43*E$37)</f>
        <v>0</v>
      </c>
      <c r="H43" s="140">
        <f>IF(A43="",0,C43*D43*F43*E$37)</f>
        <v>0</v>
      </c>
      <c r="I43" s="140">
        <f>(H43*$M$37)+H43</f>
        <v>0</v>
      </c>
      <c r="J43" s="84"/>
      <c r="K43" s="29"/>
      <c r="L43" s="122"/>
      <c r="M43" s="122"/>
    </row>
    <row r="44" spans="1:13" s="132" customFormat="1" ht="12" customHeight="1" x14ac:dyDescent="0.3">
      <c r="A44" s="137"/>
      <c r="B44" s="71" t="str">
        <f>IF(A44="","",VLOOKUP(A44,'Database Lab+Equip'!$A:$D,2,FALSE))</f>
        <v/>
      </c>
      <c r="C44" s="142"/>
      <c r="D44" s="269"/>
      <c r="E44" s="140">
        <f>IF(A44="",0,VLOOKUP(A44,'Database Lab+Equip'!$A:$D,3,FALSE))</f>
        <v>0</v>
      </c>
      <c r="F44" s="140">
        <f>IF(A44="",0,VLOOKUP(A44,'Database Lab+Equip'!$A:$D,4,FALSE))</f>
        <v>0</v>
      </c>
      <c r="G44" s="140">
        <f>IF(A44="",0,C44*D44*E44*E$37)</f>
        <v>0</v>
      </c>
      <c r="H44" s="140">
        <f>IF(A44="",0,C44*D44*F44*E$37)</f>
        <v>0</v>
      </c>
      <c r="I44" s="140">
        <f>(H44*$M$37)+H44</f>
        <v>0</v>
      </c>
      <c r="J44" s="84"/>
      <c r="K44" s="29"/>
      <c r="L44" s="122"/>
      <c r="M44" s="122"/>
    </row>
    <row r="45" spans="1:13" s="132" customFormat="1" ht="12" customHeight="1" x14ac:dyDescent="0.3">
      <c r="A45" s="137"/>
      <c r="B45" s="71" t="str">
        <f>IF(A45="","",VLOOKUP(A45,'Database Lab+Equip'!$A:$D,2,FALSE))</f>
        <v/>
      </c>
      <c r="C45" s="142"/>
      <c r="D45" s="269"/>
      <c r="E45" s="140">
        <f>IF(A45="",0,VLOOKUP(A45,'Database Lab+Equip'!$A:$D,3,FALSE))</f>
        <v>0</v>
      </c>
      <c r="F45" s="140">
        <f>IF(A45="",0,VLOOKUP(A45,'Database Lab+Equip'!$A:$D,4,FALSE))</f>
        <v>0</v>
      </c>
      <c r="G45" s="140">
        <f>IF(A45="",0,C45*D45*E45*E$37)</f>
        <v>0</v>
      </c>
      <c r="H45" s="140">
        <f>IF(A45="",0,C45*D45*F45*E$37)</f>
        <v>0</v>
      </c>
      <c r="I45" s="140">
        <f>(H45*$M$37)+H45</f>
        <v>0</v>
      </c>
      <c r="J45" s="152" t="s">
        <v>108</v>
      </c>
      <c r="K45" s="153" t="s">
        <v>109</v>
      </c>
      <c r="L45" s="31"/>
      <c r="M45" s="123">
        <f>SUM(I41:I45)-SUM(G41:G45)</f>
        <v>9136.7999999999956</v>
      </c>
    </row>
    <row r="46" spans="1:13" s="132" customFormat="1" ht="12" customHeight="1" x14ac:dyDescent="0.3">
      <c r="A46" s="35"/>
      <c r="C46" s="140"/>
      <c r="D46" s="270"/>
      <c r="E46" s="140"/>
      <c r="F46" s="140"/>
      <c r="G46" s="21">
        <f>SUM(G41:G45)</f>
        <v>19440</v>
      </c>
      <c r="H46" s="21">
        <f>SUM(H41:H45)</f>
        <v>27215.999999999993</v>
      </c>
      <c r="I46" s="21">
        <f>SUM(I41:I45)</f>
        <v>28576.799999999996</v>
      </c>
      <c r="J46" s="21">
        <f>G46</f>
        <v>19440</v>
      </c>
      <c r="K46" s="34">
        <f>I46</f>
        <v>28576.799999999996</v>
      </c>
      <c r="L46" s="247">
        <f>IF(J46=0,0,(K46-J46)/J46)</f>
        <v>0.46999999999999975</v>
      </c>
      <c r="M46" s="122"/>
    </row>
    <row r="47" spans="1:13" s="132" customFormat="1" ht="12" customHeight="1" x14ac:dyDescent="0.3">
      <c r="A47" s="35"/>
      <c r="B47" s="71"/>
      <c r="C47" s="122"/>
      <c r="D47" s="265"/>
      <c r="E47" s="122"/>
      <c r="F47" s="122"/>
      <c r="G47" s="122"/>
      <c r="H47" s="122"/>
      <c r="I47" s="144"/>
      <c r="J47" s="84"/>
      <c r="K47" s="29"/>
      <c r="L47" s="122"/>
      <c r="M47" s="122"/>
    </row>
    <row r="48" spans="1:13" s="132" customFormat="1" ht="41.4" x14ac:dyDescent="0.3">
      <c r="A48" s="246" t="s">
        <v>96</v>
      </c>
      <c r="B48" s="246" t="s">
        <v>80</v>
      </c>
      <c r="C48" s="48" t="s">
        <v>47</v>
      </c>
      <c r="D48" s="135" t="s">
        <v>110</v>
      </c>
      <c r="E48" s="48" t="s">
        <v>98</v>
      </c>
      <c r="F48" s="48" t="s">
        <v>99</v>
      </c>
      <c r="G48" s="48" t="s">
        <v>22</v>
      </c>
      <c r="H48" s="48" t="s">
        <v>23</v>
      </c>
      <c r="I48" s="48" t="s">
        <v>100</v>
      </c>
      <c r="J48" s="145"/>
      <c r="K48" s="48"/>
      <c r="L48" s="124"/>
      <c r="M48" s="124"/>
    </row>
    <row r="49" spans="1:13" s="132" customFormat="1" ht="12" customHeight="1" x14ac:dyDescent="0.3">
      <c r="A49" s="148" t="s">
        <v>116</v>
      </c>
      <c r="B49" s="71" t="str">
        <f>IF(A49="","",VLOOKUP(A49,'Database Lab+Equip'!$F:$I,2,FALSE))</f>
        <v>Hand tools</v>
      </c>
      <c r="C49" s="139">
        <v>1</v>
      </c>
      <c r="D49" s="271">
        <v>1</v>
      </c>
      <c r="E49" s="140">
        <f>IF(A49="",0,VLOOKUP(A49,'Database Lab+Equip'!$F:$I,3,FALSE))</f>
        <v>85</v>
      </c>
      <c r="F49" s="140">
        <f>IF(A49="",0,VLOOKUP(A49,'Database Lab+Equip'!$F:$I,4,FALSE))</f>
        <v>153</v>
      </c>
      <c r="G49" s="140">
        <f>IF(A49="",0,C49*D49*E49*E$37)</f>
        <v>510</v>
      </c>
      <c r="H49" s="140">
        <f>IF(A49="",0,C49*D49*F49*E$37)</f>
        <v>918</v>
      </c>
      <c r="I49" s="140">
        <f>(H49*$M$38)+H49</f>
        <v>963.9</v>
      </c>
      <c r="J49" s="84"/>
      <c r="K49" s="29"/>
      <c r="L49" s="122"/>
      <c r="M49" s="84"/>
    </row>
    <row r="50" spans="1:13" s="132" customFormat="1" ht="12" customHeight="1" x14ac:dyDescent="0.3">
      <c r="A50" s="148" t="s">
        <v>117</v>
      </c>
      <c r="B50" s="71" t="str">
        <f>IF(A50="","",VLOOKUP(A50,'Database Lab+Equip'!$F:$I,2,FALSE))</f>
        <v>Stihl MS-390 Chainsaw</v>
      </c>
      <c r="C50" s="142">
        <v>2</v>
      </c>
      <c r="D50" s="272">
        <v>1</v>
      </c>
      <c r="E50" s="140">
        <f>IF(A50="",0,VLOOKUP(A50,'Database Lab+Equip'!$F:$I,3,FALSE))</f>
        <v>30</v>
      </c>
      <c r="F50" s="140">
        <f>IF(A50="",0,VLOOKUP(A50,'Database Lab+Equip'!$F:$I,4,FALSE))</f>
        <v>54</v>
      </c>
      <c r="G50" s="140">
        <f t="shared" ref="G50:G55" si="3">IF(A50="",0,C50*D50*E50*E$37)</f>
        <v>360</v>
      </c>
      <c r="H50" s="140">
        <f t="shared" ref="H50:H56" si="4">IF(A50="",0,C50*D50*F50*E$37)</f>
        <v>648</v>
      </c>
      <c r="I50" s="140">
        <f t="shared" ref="I50:I55" si="5">(H50*$M$38)+H50</f>
        <v>680.4</v>
      </c>
      <c r="J50" s="122"/>
      <c r="K50" s="29"/>
      <c r="L50" s="122"/>
      <c r="M50" s="122"/>
    </row>
    <row r="51" spans="1:13" s="132" customFormat="1" ht="12" customHeight="1" x14ac:dyDescent="0.3">
      <c r="A51" s="314" t="s">
        <v>111</v>
      </c>
      <c r="B51" s="71" t="str">
        <f>IF(A51="","",VLOOKUP(A51,'Database Lab+Equip'!$F:$I,2,FALSE))</f>
        <v>Light 4WD Vehicle - D/Cab Ute</v>
      </c>
      <c r="C51" s="313">
        <v>2</v>
      </c>
      <c r="D51" s="322">
        <v>1</v>
      </c>
      <c r="E51" s="140">
        <f>IF(A51="",0,VLOOKUP(A51,'Database Lab+Equip'!$F:$I,3,FALSE))</f>
        <v>120</v>
      </c>
      <c r="F51" s="140">
        <f>IF(A51="",0,VLOOKUP(A51,'Database Lab+Equip'!$F:$I,4,FALSE))</f>
        <v>216</v>
      </c>
      <c r="G51" s="140">
        <f t="shared" si="3"/>
        <v>1440</v>
      </c>
      <c r="H51" s="140">
        <f t="shared" si="4"/>
        <v>2592</v>
      </c>
      <c r="I51" s="140">
        <f t="shared" si="5"/>
        <v>2721.6</v>
      </c>
      <c r="J51" s="84"/>
      <c r="K51" s="29"/>
      <c r="L51" s="122"/>
      <c r="M51" s="122"/>
    </row>
    <row r="52" spans="1:13" s="132" customFormat="1" ht="12" customHeight="1" x14ac:dyDescent="0.3">
      <c r="A52" s="314" t="s">
        <v>115</v>
      </c>
      <c r="B52" s="71" t="str">
        <f>IF(A52="","",VLOOKUP(A52,'Database Lab+Equip'!$F:$I,2,FALSE))</f>
        <v>TracStar 900 Polywelding Machine c/w dies</v>
      </c>
      <c r="C52" s="313">
        <v>2</v>
      </c>
      <c r="D52" s="322">
        <v>1</v>
      </c>
      <c r="E52" s="140">
        <f>IF(A52="",0,VLOOKUP(A52,'Database Lab+Equip'!$F:$I,3,FALSE))</f>
        <v>700</v>
      </c>
      <c r="F52" s="140">
        <f>IF(A52="",0,VLOOKUP(A52,'Database Lab+Equip'!$F:$I,4,FALSE))</f>
        <v>979.99999999999989</v>
      </c>
      <c r="G52" s="140">
        <f t="shared" si="3"/>
        <v>8400</v>
      </c>
      <c r="H52" s="140">
        <f t="shared" si="4"/>
        <v>11759.999999999998</v>
      </c>
      <c r="I52" s="140">
        <f t="shared" si="5"/>
        <v>12347.999999999998</v>
      </c>
      <c r="J52" s="84"/>
      <c r="K52" s="29"/>
      <c r="L52" s="122"/>
      <c r="M52" s="122"/>
    </row>
    <row r="53" spans="1:13" s="132" customFormat="1" ht="12" customHeight="1" x14ac:dyDescent="0.3">
      <c r="A53" s="148" t="s">
        <v>120</v>
      </c>
      <c r="B53" s="71" t="str">
        <f>IF(A53="","",VLOOKUP(A53,'Database Lab+Equip'!$F:$I,2,FALSE))</f>
        <v>WA320</v>
      </c>
      <c r="C53" s="142">
        <v>1</v>
      </c>
      <c r="D53" s="272">
        <v>1</v>
      </c>
      <c r="E53" s="140">
        <f>IF(A53="",0,VLOOKUP(A53,'Database Lab+Equip'!$F:$I,3,FALSE))</f>
        <v>400</v>
      </c>
      <c r="F53" s="140">
        <f>IF(A53="",0,VLOOKUP(A53,'Database Lab+Equip'!$F:$I,4,FALSE))</f>
        <v>720</v>
      </c>
      <c r="G53" s="140">
        <f t="shared" si="3"/>
        <v>2400</v>
      </c>
      <c r="H53" s="140">
        <f t="shared" si="4"/>
        <v>4320</v>
      </c>
      <c r="I53" s="140">
        <f t="shared" si="5"/>
        <v>4536</v>
      </c>
      <c r="J53" s="84"/>
      <c r="K53" s="29"/>
      <c r="L53" s="122"/>
      <c r="M53" s="122"/>
    </row>
    <row r="54" spans="1:13" s="132" customFormat="1" ht="12" customHeight="1" x14ac:dyDescent="0.3">
      <c r="A54" s="148"/>
      <c r="B54" s="71" t="str">
        <f>IF(A54="","",VLOOKUP(A54,'Database Lab+Equip'!$F:$I,2,FALSE))</f>
        <v/>
      </c>
      <c r="C54" s="142"/>
      <c r="D54" s="272"/>
      <c r="E54" s="140">
        <f>IF(A54="",0,VLOOKUP(A54,'Database Lab+Equip'!$F:$I,3,FALSE))</f>
        <v>0</v>
      </c>
      <c r="F54" s="140">
        <f>IF(A54="",0,VLOOKUP(A54,'Database Lab+Equip'!$F:$I,4,FALSE))</f>
        <v>0</v>
      </c>
      <c r="G54" s="140">
        <f t="shared" si="3"/>
        <v>0</v>
      </c>
      <c r="H54" s="140">
        <f t="shared" si="4"/>
        <v>0</v>
      </c>
      <c r="I54" s="140">
        <f t="shared" si="5"/>
        <v>0</v>
      </c>
      <c r="J54" s="84"/>
      <c r="K54" s="29"/>
      <c r="L54" s="122"/>
      <c r="M54" s="122"/>
    </row>
    <row r="55" spans="1:13" s="132" customFormat="1" ht="12" customHeight="1" x14ac:dyDescent="0.3">
      <c r="A55" s="148"/>
      <c r="B55" s="71" t="str">
        <f>IF(A55="","",VLOOKUP(A55,'Database Lab+Equip'!$F:$I,2,FALSE))</f>
        <v/>
      </c>
      <c r="C55" s="150"/>
      <c r="D55" s="273"/>
      <c r="E55" s="140">
        <f>IF(A55="",0,VLOOKUP(A55,'Database Lab+Equip'!$F:$I,3,FALSE))</f>
        <v>0</v>
      </c>
      <c r="F55" s="140">
        <f>IF(A55="",0,VLOOKUP(A55,'Database Lab+Equip'!$F:$I,4,FALSE))</f>
        <v>0</v>
      </c>
      <c r="G55" s="140">
        <f t="shared" si="3"/>
        <v>0</v>
      </c>
      <c r="H55" s="140">
        <f t="shared" si="4"/>
        <v>0</v>
      </c>
      <c r="I55" s="140">
        <f t="shared" si="5"/>
        <v>0</v>
      </c>
      <c r="J55" s="84"/>
      <c r="K55" s="29"/>
      <c r="L55" s="122"/>
      <c r="M55" s="122"/>
    </row>
    <row r="56" spans="1:13" s="132" customFormat="1" ht="12" customHeight="1" x14ac:dyDescent="0.3">
      <c r="A56" s="148"/>
      <c r="B56" s="71" t="str">
        <f>IF(A56="","",VLOOKUP(A56,'Database Lab+Equip'!$F:$I,2,FALSE))</f>
        <v/>
      </c>
      <c r="C56" s="150"/>
      <c r="D56" s="273"/>
      <c r="E56" s="140">
        <f>IF(A56="",0,VLOOKUP(A56,'Database Lab+Equip'!$F:$I,3,FALSE))</f>
        <v>0</v>
      </c>
      <c r="F56" s="140">
        <f>IF(A56="",0,VLOOKUP(A56,'Database Lab+Equip'!$F:$I,4,FALSE))</f>
        <v>0</v>
      </c>
      <c r="G56" s="140">
        <f>IF(A56="",0,C56*D56*E56*E$37)</f>
        <v>0</v>
      </c>
      <c r="H56" s="140">
        <f t="shared" si="4"/>
        <v>0</v>
      </c>
      <c r="I56" s="140">
        <f>(H56*$M$38)+H56</f>
        <v>0</v>
      </c>
      <c r="J56" s="152" t="s">
        <v>108</v>
      </c>
      <c r="K56" s="153" t="s">
        <v>109</v>
      </c>
      <c r="L56" s="31"/>
      <c r="M56" s="125">
        <f>SUM(I49:I56)-SUM(G49:G56)</f>
        <v>8139.8999999999978</v>
      </c>
    </row>
    <row r="57" spans="1:13" s="132" customFormat="1" ht="12" customHeight="1" x14ac:dyDescent="0.3">
      <c r="A57" s="72"/>
      <c r="B57" s="71"/>
      <c r="D57" s="265"/>
      <c r="E57" s="122"/>
      <c r="F57" s="122"/>
      <c r="G57" s="21">
        <f>SUM(G49:G56)</f>
        <v>13110</v>
      </c>
      <c r="H57" s="21">
        <f>SUM(H49:H56)</f>
        <v>20238</v>
      </c>
      <c r="I57" s="21">
        <f>SUM(I49:I56)</f>
        <v>21249.899999999998</v>
      </c>
      <c r="J57" s="21">
        <f>G57</f>
        <v>13110</v>
      </c>
      <c r="K57" s="34">
        <f>I57</f>
        <v>21249.899999999998</v>
      </c>
      <c r="L57" s="256">
        <f>IF(J57=0,0,(K57-J57)/J57)</f>
        <v>0.62089244851258563</v>
      </c>
      <c r="M57" s="187">
        <f>M45+M56</f>
        <v>17276.699999999993</v>
      </c>
    </row>
    <row r="58" spans="1:13" s="31" customFormat="1" ht="13.8" x14ac:dyDescent="0.3">
      <c r="A58" s="110"/>
      <c r="B58" s="257"/>
      <c r="C58" s="258"/>
      <c r="D58" s="274"/>
      <c r="E58" s="117"/>
      <c r="F58" s="117"/>
      <c r="G58" s="118"/>
      <c r="H58" s="110"/>
      <c r="I58" s="161"/>
      <c r="J58" s="162">
        <f>J46+J57</f>
        <v>32550</v>
      </c>
      <c r="K58" s="162">
        <f>K46+K57</f>
        <v>49826.7</v>
      </c>
      <c r="L58" s="259">
        <f>IF(J58=0,0,(K58-J58)/K58)</f>
        <v>0.34673578623509077</v>
      </c>
      <c r="M58" s="173"/>
    </row>
    <row r="59" spans="1:13" s="31" customFormat="1" ht="13.8" x14ac:dyDescent="0.3">
      <c r="A59" s="112"/>
      <c r="B59" s="251"/>
      <c r="C59" s="252"/>
      <c r="D59" s="275"/>
      <c r="E59" s="215"/>
      <c r="F59" s="215"/>
      <c r="G59" s="216"/>
      <c r="H59" s="112"/>
      <c r="I59" s="217"/>
      <c r="J59" s="218"/>
      <c r="K59" s="218"/>
      <c r="L59" s="254"/>
      <c r="M59" s="213"/>
    </row>
    <row r="60" spans="1:13" ht="15.6" x14ac:dyDescent="0.3">
      <c r="B60" s="354" t="s">
        <v>383</v>
      </c>
      <c r="C60" s="239"/>
      <c r="D60" s="42"/>
      <c r="E60" s="239"/>
      <c r="F60" s="255"/>
      <c r="H60" s="132"/>
      <c r="I60" s="132"/>
      <c r="L60" s="93" t="s">
        <v>85</v>
      </c>
      <c r="M60" s="94"/>
    </row>
    <row r="61" spans="1:13" s="132" customFormat="1" ht="12" customHeight="1" x14ac:dyDescent="0.3">
      <c r="B61" s="59" t="s">
        <v>135</v>
      </c>
      <c r="C61" s="242">
        <v>14800</v>
      </c>
      <c r="D61" s="266" t="s">
        <v>87</v>
      </c>
      <c r="E61" s="23">
        <v>560</v>
      </c>
      <c r="F61" s="133"/>
      <c r="H61" s="14"/>
      <c r="I61" s="14"/>
      <c r="J61" s="121"/>
      <c r="K61" s="121"/>
      <c r="L61" s="126" t="s">
        <v>88</v>
      </c>
      <c r="M61" s="243"/>
    </row>
    <row r="62" spans="1:13" s="132" customFormat="1" ht="12" customHeight="1" x14ac:dyDescent="0.3">
      <c r="B62" s="59" t="s">
        <v>141</v>
      </c>
      <c r="C62" s="25">
        <v>1</v>
      </c>
      <c r="D62" s="266" t="s">
        <v>89</v>
      </c>
      <c r="E62" s="23" t="s">
        <v>149</v>
      </c>
      <c r="J62" s="122"/>
      <c r="K62" s="121"/>
      <c r="L62" s="126" t="s">
        <v>90</v>
      </c>
      <c r="M62" s="243"/>
    </row>
    <row r="63" spans="1:13" s="132" customFormat="1" ht="12" customHeight="1" x14ac:dyDescent="0.3">
      <c r="B63" s="59" t="s">
        <v>142</v>
      </c>
      <c r="C63" s="27">
        <f>IF(C61="","",C61/E63+C62)</f>
        <v>741</v>
      </c>
      <c r="D63" s="266" t="s">
        <v>91</v>
      </c>
      <c r="E63" s="23">
        <v>20</v>
      </c>
      <c r="G63" s="132">
        <v>20</v>
      </c>
      <c r="I63" s="26"/>
      <c r="J63" s="29"/>
      <c r="K63" s="121"/>
      <c r="L63" s="126" t="s">
        <v>92</v>
      </c>
      <c r="M63" s="243"/>
    </row>
    <row r="64" spans="1:13" s="132" customFormat="1" ht="12" customHeight="1" x14ac:dyDescent="0.3">
      <c r="B64" s="59" t="s">
        <v>143</v>
      </c>
      <c r="C64" s="25">
        <v>3</v>
      </c>
      <c r="D64" s="266" t="s">
        <v>25</v>
      </c>
      <c r="E64" s="128">
        <f>SUM(C69:C73)</f>
        <v>4</v>
      </c>
      <c r="I64" s="26"/>
      <c r="J64" s="29"/>
      <c r="K64" s="121"/>
      <c r="L64" s="93" t="s">
        <v>94</v>
      </c>
      <c r="M64" s="94"/>
    </row>
    <row r="65" spans="1:13" s="132" customFormat="1" ht="12" customHeight="1" x14ac:dyDescent="0.3">
      <c r="B65" s="59" t="s">
        <v>144</v>
      </c>
      <c r="C65" s="25">
        <v>10</v>
      </c>
      <c r="D65" s="266" t="s">
        <v>44</v>
      </c>
      <c r="E65" s="244">
        <v>28</v>
      </c>
      <c r="I65" s="26"/>
      <c r="J65" s="29"/>
      <c r="K65" s="121"/>
      <c r="L65" s="57" t="s">
        <v>70</v>
      </c>
      <c r="M65" s="58">
        <f>M9</f>
        <v>0.05</v>
      </c>
    </row>
    <row r="66" spans="1:13" s="132" customFormat="1" ht="12" customHeight="1" x14ac:dyDescent="0.3">
      <c r="B66" s="28"/>
      <c r="C66" s="122"/>
      <c r="D66" s="267"/>
      <c r="E66" s="211"/>
      <c r="I66" s="26"/>
      <c r="J66" s="29"/>
      <c r="K66" s="121"/>
      <c r="L66" s="57" t="s">
        <v>80</v>
      </c>
      <c r="M66" s="58">
        <f>M10</f>
        <v>0.05</v>
      </c>
    </row>
    <row r="67" spans="1:13" s="132" customFormat="1" ht="12" customHeight="1" x14ac:dyDescent="0.3">
      <c r="B67" s="28"/>
      <c r="C67" s="28"/>
      <c r="D67" s="43"/>
      <c r="H67" s="29"/>
      <c r="I67" s="29"/>
      <c r="J67" s="29"/>
      <c r="K67" s="29"/>
      <c r="L67" s="122"/>
      <c r="M67" s="122"/>
    </row>
    <row r="68" spans="1:13" s="132" customFormat="1" ht="27.6" x14ac:dyDescent="0.3">
      <c r="A68" s="246" t="s">
        <v>145</v>
      </c>
      <c r="B68" s="246" t="s">
        <v>70</v>
      </c>
      <c r="C68" s="48" t="s">
        <v>47</v>
      </c>
      <c r="D68" s="135" t="s">
        <v>97</v>
      </c>
      <c r="E68" s="48" t="s">
        <v>98</v>
      </c>
      <c r="F68" s="48" t="s">
        <v>99</v>
      </c>
      <c r="G68" s="48" t="s">
        <v>22</v>
      </c>
      <c r="H68" s="48" t="s">
        <v>23</v>
      </c>
      <c r="I68" s="48" t="s">
        <v>100</v>
      </c>
      <c r="J68" s="124"/>
      <c r="K68" s="48"/>
      <c r="L68" s="48" t="s">
        <v>101</v>
      </c>
      <c r="M68" s="48" t="s">
        <v>0</v>
      </c>
    </row>
    <row r="69" spans="1:13" s="132" customFormat="1" ht="12" customHeight="1" x14ac:dyDescent="0.3">
      <c r="A69" s="137" t="s">
        <v>103</v>
      </c>
      <c r="B69" s="71" t="str">
        <f>IF(A69="","",VLOOKUP(A69,'Database Lab+Equip'!$A:$D,2,FALSE))</f>
        <v>Polywelder</v>
      </c>
      <c r="C69" s="142">
        <v>2</v>
      </c>
      <c r="D69" s="269">
        <v>12</v>
      </c>
      <c r="E69" s="140">
        <f>IF(A69="",0,VLOOKUP(A69,'Database Lab+Equip'!$A:$D,3,FALSE))</f>
        <v>90</v>
      </c>
      <c r="F69" s="140">
        <f>IF(A69="",0,VLOOKUP(A69,'Database Lab+Equip'!$A:$D,4,FALSE))</f>
        <v>125.99999999999999</v>
      </c>
      <c r="G69" s="140">
        <f>IF(A69="",0,C69*D69*E69*E$65)</f>
        <v>60480</v>
      </c>
      <c r="H69" s="140">
        <f>IF(A69="",0,C69*D69*F69*E$65)</f>
        <v>84671.999999999985</v>
      </c>
      <c r="I69" s="140">
        <f>(H69*$M$65)+H69</f>
        <v>88905.599999999991</v>
      </c>
      <c r="J69" s="84"/>
      <c r="K69" s="29"/>
      <c r="L69" s="122"/>
      <c r="M69" s="84"/>
    </row>
    <row r="70" spans="1:13" s="132" customFormat="1" ht="12" customHeight="1" x14ac:dyDescent="0.3">
      <c r="A70" s="137" t="s">
        <v>105</v>
      </c>
      <c r="B70" s="71" t="str">
        <f>IF(A70="","",VLOOKUP(A70,'Database Lab+Equip'!$A:$D,2,FALSE))</f>
        <v>Operator</v>
      </c>
      <c r="C70" s="142">
        <v>2</v>
      </c>
      <c r="D70" s="269">
        <v>12</v>
      </c>
      <c r="E70" s="140">
        <f>IF(A70="",0,VLOOKUP(A70,'Database Lab+Equip'!$A:$D,3,FALSE))</f>
        <v>90</v>
      </c>
      <c r="F70" s="140">
        <f>IF(A70="",0,VLOOKUP(A70,'Database Lab+Equip'!$A:$D,4,FALSE))</f>
        <v>125.99999999999999</v>
      </c>
      <c r="G70" s="140">
        <f>IF(A70="",0,C70*D70*E70*E$65)</f>
        <v>60480</v>
      </c>
      <c r="H70" s="140">
        <f>IF(A70="",0,C70*D70*F70*E$65)</f>
        <v>84671.999999999985</v>
      </c>
      <c r="I70" s="140">
        <f>(H70*$M$65)+H70</f>
        <v>88905.599999999991</v>
      </c>
      <c r="J70" s="84"/>
      <c r="K70" s="29"/>
      <c r="L70" s="122"/>
      <c r="M70" s="122"/>
    </row>
    <row r="71" spans="1:13" s="132" customFormat="1" ht="12" customHeight="1" x14ac:dyDescent="0.3">
      <c r="A71" s="137"/>
      <c r="B71" s="71" t="str">
        <f>IF(A71="","",VLOOKUP(A71,'Database Lab+Equip'!$A:$D,2,FALSE))</f>
        <v/>
      </c>
      <c r="C71" s="142"/>
      <c r="D71" s="269"/>
      <c r="E71" s="140">
        <f>IF(A71="",0,VLOOKUP(A71,'Database Lab+Equip'!$A:$D,3,FALSE))</f>
        <v>0</v>
      </c>
      <c r="F71" s="140">
        <f>IF(A71="",0,VLOOKUP(A71,'Database Lab+Equip'!$A:$D,4,FALSE))</f>
        <v>0</v>
      </c>
      <c r="G71" s="140">
        <f>IF(A71="",0,C71*D71*E71*E$65)</f>
        <v>0</v>
      </c>
      <c r="H71" s="140">
        <f>IF(A71="",0,C71*D71*F71*E$65)</f>
        <v>0</v>
      </c>
      <c r="I71" s="140">
        <f>(H71*$M$65)+H71</f>
        <v>0</v>
      </c>
      <c r="J71" s="84"/>
      <c r="K71" s="29"/>
      <c r="L71" s="122"/>
      <c r="M71" s="122"/>
    </row>
    <row r="72" spans="1:13" s="132" customFormat="1" ht="12" customHeight="1" x14ac:dyDescent="0.3">
      <c r="A72" s="137"/>
      <c r="B72" s="71" t="str">
        <f>IF(A72="","",VLOOKUP(A72,'Database Lab+Equip'!$A:$D,2,FALSE))</f>
        <v/>
      </c>
      <c r="C72" s="142"/>
      <c r="D72" s="269"/>
      <c r="E72" s="140">
        <f>IF(A72="",0,VLOOKUP(A72,'Database Lab+Equip'!$A:$D,3,FALSE))</f>
        <v>0</v>
      </c>
      <c r="F72" s="140">
        <f>IF(A72="",0,VLOOKUP(A72,'Database Lab+Equip'!$A:$D,4,FALSE))</f>
        <v>0</v>
      </c>
      <c r="G72" s="140">
        <f>IF(A72="",0,C72*D72*E72*E$65)</f>
        <v>0</v>
      </c>
      <c r="H72" s="140">
        <f>IF(A72="",0,C72*D72*F72*E$65)</f>
        <v>0</v>
      </c>
      <c r="I72" s="140">
        <f>(H72*$M$65)+H72</f>
        <v>0</v>
      </c>
      <c r="J72" s="84"/>
      <c r="K72" s="29"/>
      <c r="L72" s="122"/>
      <c r="M72" s="122"/>
    </row>
    <row r="73" spans="1:13" s="132" customFormat="1" ht="12" customHeight="1" x14ac:dyDescent="0.3">
      <c r="A73" s="137"/>
      <c r="B73" s="71" t="str">
        <f>IF(A73="","",VLOOKUP(A73,'Database Lab+Equip'!$A:$D,2,FALSE))</f>
        <v/>
      </c>
      <c r="C73" s="142"/>
      <c r="D73" s="269"/>
      <c r="E73" s="140">
        <f>IF(A73="",0,VLOOKUP(A73,'Database Lab+Equip'!$A:$D,3,FALSE))</f>
        <v>0</v>
      </c>
      <c r="F73" s="140">
        <f>IF(A73="",0,VLOOKUP(A73,'Database Lab+Equip'!$A:$D,4,FALSE))</f>
        <v>0</v>
      </c>
      <c r="G73" s="140">
        <f>IF(A73="",0,C73*D73*E73*E$65)</f>
        <v>0</v>
      </c>
      <c r="H73" s="140">
        <f>IF(A73="",0,C73*D73*F73*E$65)</f>
        <v>0</v>
      </c>
      <c r="I73" s="140">
        <f>(H73*$M$65)+H73</f>
        <v>0</v>
      </c>
      <c r="J73" s="152" t="s">
        <v>108</v>
      </c>
      <c r="K73" s="153" t="s">
        <v>109</v>
      </c>
      <c r="L73" s="31"/>
      <c r="M73" s="123">
        <f>SUM(I69:I73)-SUM(G69:G73)</f>
        <v>56851.199999999983</v>
      </c>
    </row>
    <row r="74" spans="1:13" s="132" customFormat="1" ht="12" customHeight="1" x14ac:dyDescent="0.3">
      <c r="A74" s="35"/>
      <c r="C74" s="140"/>
      <c r="D74" s="270"/>
      <c r="E74" s="140"/>
      <c r="F74" s="140"/>
      <c r="G74" s="21">
        <f>SUM(G69:G73)</f>
        <v>120960</v>
      </c>
      <c r="H74" s="21">
        <f>SUM(H69:H73)</f>
        <v>169343.99999999997</v>
      </c>
      <c r="I74" s="21">
        <f>SUM(I69:I73)</f>
        <v>177811.19999999998</v>
      </c>
      <c r="J74" s="21">
        <f>G74</f>
        <v>120960</v>
      </c>
      <c r="K74" s="34">
        <f>I74</f>
        <v>177811.19999999998</v>
      </c>
      <c r="L74" s="247">
        <f>IF(J74=0,0,(K74-J74)/J74)</f>
        <v>0.46999999999999986</v>
      </c>
      <c r="M74" s="122"/>
    </row>
    <row r="75" spans="1:13" s="132" customFormat="1" ht="12" customHeight="1" x14ac:dyDescent="0.3">
      <c r="A75" s="35"/>
      <c r="B75" s="71"/>
      <c r="C75" s="122"/>
      <c r="D75" s="265"/>
      <c r="E75" s="122"/>
      <c r="F75" s="122"/>
      <c r="G75" s="122"/>
      <c r="H75" s="122"/>
      <c r="I75" s="144"/>
      <c r="J75" s="84"/>
      <c r="K75" s="29"/>
      <c r="L75" s="122"/>
      <c r="M75" s="122"/>
    </row>
    <row r="76" spans="1:13" s="132" customFormat="1" ht="41.4" x14ac:dyDescent="0.3">
      <c r="A76" s="246" t="s">
        <v>96</v>
      </c>
      <c r="B76" s="246" t="s">
        <v>80</v>
      </c>
      <c r="C76" s="48" t="s">
        <v>47</v>
      </c>
      <c r="D76" s="135" t="s">
        <v>110</v>
      </c>
      <c r="E76" s="48" t="s">
        <v>98</v>
      </c>
      <c r="F76" s="48" t="s">
        <v>99</v>
      </c>
      <c r="G76" s="48" t="s">
        <v>22</v>
      </c>
      <c r="H76" s="48" t="s">
        <v>23</v>
      </c>
      <c r="I76" s="48" t="s">
        <v>100</v>
      </c>
      <c r="J76" s="145"/>
      <c r="K76" s="48"/>
      <c r="L76" s="124"/>
      <c r="M76" s="124"/>
    </row>
    <row r="77" spans="1:13" s="132" customFormat="1" ht="12" customHeight="1" x14ac:dyDescent="0.3">
      <c r="A77" s="148" t="s">
        <v>116</v>
      </c>
      <c r="B77" s="71" t="str">
        <f>IF(A77="","",VLOOKUP(A77,'Database Lab+Equip'!$F:$I,2,FALSE))</f>
        <v>Hand tools</v>
      </c>
      <c r="C77" s="139">
        <v>1</v>
      </c>
      <c r="D77" s="271">
        <v>1</v>
      </c>
      <c r="E77" s="140">
        <f>IF(A77="",0,VLOOKUP(A77,'Database Lab+Equip'!$F:$I,3,FALSE))</f>
        <v>85</v>
      </c>
      <c r="F77" s="140">
        <f>IF(A77="",0,VLOOKUP(A77,'Database Lab+Equip'!$F:$I,4,FALSE))</f>
        <v>153</v>
      </c>
      <c r="G77" s="140">
        <f>IF(A77="",0,C77*D77*E77*E$65)</f>
        <v>2380</v>
      </c>
      <c r="H77" s="140">
        <f>IF(A77="",0,C77*D77*F77*E$65)</f>
        <v>4284</v>
      </c>
      <c r="I77" s="140">
        <f>(H77*$M$66)+H77</f>
        <v>4498.2</v>
      </c>
      <c r="J77" s="84"/>
      <c r="K77" s="29"/>
      <c r="L77" s="122"/>
      <c r="M77" s="84"/>
    </row>
    <row r="78" spans="1:13" s="132" customFormat="1" ht="12" customHeight="1" x14ac:dyDescent="0.3">
      <c r="A78" s="148" t="s">
        <v>117</v>
      </c>
      <c r="B78" s="71" t="str">
        <f>IF(A78="","",VLOOKUP(A78,'Database Lab+Equip'!$F:$I,2,FALSE))</f>
        <v>Stihl MS-390 Chainsaw</v>
      </c>
      <c r="C78" s="142">
        <v>2</v>
      </c>
      <c r="D78" s="272">
        <v>1</v>
      </c>
      <c r="E78" s="140">
        <f>IF(A78="",0,VLOOKUP(A78,'Database Lab+Equip'!$F:$I,3,FALSE))</f>
        <v>30</v>
      </c>
      <c r="F78" s="140">
        <f>IF(A78="",0,VLOOKUP(A78,'Database Lab+Equip'!$F:$I,4,FALSE))</f>
        <v>54</v>
      </c>
      <c r="G78" s="140">
        <f t="shared" ref="G78:G84" si="6">IF(A78="",0,C78*D78*E78*E$65)</f>
        <v>1680</v>
      </c>
      <c r="H78" s="140">
        <f t="shared" ref="H78:H84" si="7">IF(A78="",0,C78*D78*F78*E$65)</f>
        <v>3024</v>
      </c>
      <c r="I78" s="140">
        <f t="shared" ref="I78:I83" si="8">(H78*$M$66)+H78</f>
        <v>3175.2</v>
      </c>
      <c r="J78" s="122"/>
      <c r="K78" s="29"/>
      <c r="L78" s="122"/>
      <c r="M78" s="122"/>
    </row>
    <row r="79" spans="1:13" s="132" customFormat="1" ht="12" customHeight="1" x14ac:dyDescent="0.3">
      <c r="A79" s="314" t="s">
        <v>111</v>
      </c>
      <c r="B79" s="71" t="str">
        <f>IF(A79="","",VLOOKUP(A79,'Database Lab+Equip'!$F:$I,2,FALSE))</f>
        <v>Light 4WD Vehicle - D/Cab Ute</v>
      </c>
      <c r="C79" s="313">
        <v>2</v>
      </c>
      <c r="D79" s="322">
        <v>1</v>
      </c>
      <c r="E79" s="140">
        <f>IF(A79="",0,VLOOKUP(A79,'Database Lab+Equip'!$F:$I,3,FALSE))</f>
        <v>120</v>
      </c>
      <c r="F79" s="140">
        <f>IF(A79="",0,VLOOKUP(A79,'Database Lab+Equip'!$F:$I,4,FALSE))</f>
        <v>216</v>
      </c>
      <c r="G79" s="140">
        <f t="shared" si="6"/>
        <v>6720</v>
      </c>
      <c r="H79" s="140">
        <f t="shared" si="7"/>
        <v>12096</v>
      </c>
      <c r="I79" s="140">
        <f t="shared" si="8"/>
        <v>12700.8</v>
      </c>
      <c r="J79" s="84"/>
      <c r="K79" s="29"/>
      <c r="L79" s="122"/>
      <c r="M79" s="122"/>
    </row>
    <row r="80" spans="1:13" s="132" customFormat="1" ht="12" customHeight="1" x14ac:dyDescent="0.3">
      <c r="A80" s="314" t="s">
        <v>115</v>
      </c>
      <c r="B80" s="71" t="str">
        <f>IF(A80="","",VLOOKUP(A80,'Database Lab+Equip'!$F:$I,2,FALSE))</f>
        <v>TracStar 900 Polywelding Machine c/w dies</v>
      </c>
      <c r="C80" s="313">
        <v>2</v>
      </c>
      <c r="D80" s="322">
        <v>1</v>
      </c>
      <c r="E80" s="140">
        <f>IF(A80="",0,VLOOKUP(A80,'Database Lab+Equip'!$F:$I,3,FALSE))</f>
        <v>700</v>
      </c>
      <c r="F80" s="140">
        <f>IF(A80="",0,VLOOKUP(A80,'Database Lab+Equip'!$F:$I,4,FALSE))</f>
        <v>979.99999999999989</v>
      </c>
      <c r="G80" s="140">
        <f t="shared" si="6"/>
        <v>39200</v>
      </c>
      <c r="H80" s="140">
        <f t="shared" si="7"/>
        <v>54879.999999999993</v>
      </c>
      <c r="I80" s="140">
        <f t="shared" si="8"/>
        <v>57623.999999999993</v>
      </c>
      <c r="J80" s="84"/>
      <c r="K80" s="29"/>
      <c r="L80" s="122"/>
      <c r="M80" s="122"/>
    </row>
    <row r="81" spans="1:13" s="132" customFormat="1" ht="12" customHeight="1" x14ac:dyDescent="0.3">
      <c r="A81" s="148" t="s">
        <v>120</v>
      </c>
      <c r="B81" s="71" t="str">
        <f>IF(A81="","",VLOOKUP(A81,'Database Lab+Equip'!$F:$I,2,FALSE))</f>
        <v>WA320</v>
      </c>
      <c r="C81" s="142">
        <v>2</v>
      </c>
      <c r="D81" s="272">
        <v>1</v>
      </c>
      <c r="E81" s="140">
        <f>IF(A81="",0,VLOOKUP(A81,'Database Lab+Equip'!$F:$I,3,FALSE))</f>
        <v>400</v>
      </c>
      <c r="F81" s="140">
        <f>IF(A81="",0,VLOOKUP(A81,'Database Lab+Equip'!$F:$I,4,FALSE))</f>
        <v>720</v>
      </c>
      <c r="G81" s="140">
        <f t="shared" si="6"/>
        <v>22400</v>
      </c>
      <c r="H81" s="140">
        <f t="shared" si="7"/>
        <v>40320</v>
      </c>
      <c r="I81" s="140">
        <f t="shared" si="8"/>
        <v>42336</v>
      </c>
      <c r="J81" s="84"/>
      <c r="K81" s="29"/>
      <c r="L81" s="122"/>
      <c r="M81" s="122"/>
    </row>
    <row r="82" spans="1:13" s="132" customFormat="1" ht="12" customHeight="1" x14ac:dyDescent="0.3">
      <c r="A82" s="148"/>
      <c r="B82" s="71" t="str">
        <f>IF(A82="","",VLOOKUP(A82,'Database Lab+Equip'!$F:$I,2,FALSE))</f>
        <v/>
      </c>
      <c r="C82" s="142"/>
      <c r="D82" s="272"/>
      <c r="E82" s="140">
        <f>IF(A82="",0,VLOOKUP(A82,'Database Lab+Equip'!$F:$I,3,FALSE))</f>
        <v>0</v>
      </c>
      <c r="F82" s="140">
        <f>IF(A82="",0,VLOOKUP(A82,'Database Lab+Equip'!$F:$I,4,FALSE))</f>
        <v>0</v>
      </c>
      <c r="G82" s="140">
        <f t="shared" si="6"/>
        <v>0</v>
      </c>
      <c r="H82" s="140">
        <f t="shared" si="7"/>
        <v>0</v>
      </c>
      <c r="I82" s="140">
        <f t="shared" si="8"/>
        <v>0</v>
      </c>
      <c r="J82" s="84"/>
      <c r="K82" s="29"/>
      <c r="L82" s="122"/>
      <c r="M82" s="122"/>
    </row>
    <row r="83" spans="1:13" s="132" customFormat="1" ht="12" customHeight="1" x14ac:dyDescent="0.3">
      <c r="A83" s="148"/>
      <c r="B83" s="71" t="str">
        <f>IF(A83="","",VLOOKUP(A83,'Database Lab+Equip'!$F:$I,2,FALSE))</f>
        <v/>
      </c>
      <c r="C83" s="150"/>
      <c r="D83" s="273"/>
      <c r="E83" s="140">
        <f>IF(A83="",0,VLOOKUP(A83,'Database Lab+Equip'!$F:$I,3,FALSE))</f>
        <v>0</v>
      </c>
      <c r="F83" s="140">
        <f>IF(A83="",0,VLOOKUP(A83,'Database Lab+Equip'!$F:$I,4,FALSE))</f>
        <v>0</v>
      </c>
      <c r="G83" s="140">
        <f t="shared" si="6"/>
        <v>0</v>
      </c>
      <c r="H83" s="140">
        <f t="shared" si="7"/>
        <v>0</v>
      </c>
      <c r="I83" s="140">
        <f t="shared" si="8"/>
        <v>0</v>
      </c>
      <c r="J83" s="84"/>
      <c r="K83" s="29"/>
      <c r="L83" s="122"/>
      <c r="M83" s="122"/>
    </row>
    <row r="84" spans="1:13" s="132" customFormat="1" ht="12" customHeight="1" x14ac:dyDescent="0.3">
      <c r="A84" s="148"/>
      <c r="B84" s="71" t="str">
        <f>IF(A84="","",VLOOKUP(A84,'Database Lab+Equip'!$F:$I,2,FALSE))</f>
        <v/>
      </c>
      <c r="C84" s="150"/>
      <c r="D84" s="273"/>
      <c r="E84" s="140">
        <f>IF(A84="",0,VLOOKUP(A84,'Database Lab+Equip'!$F:$I,3,FALSE))</f>
        <v>0</v>
      </c>
      <c r="F84" s="140">
        <f>IF(A84="",0,VLOOKUP(A84,'Database Lab+Equip'!$F:$I,4,FALSE))</f>
        <v>0</v>
      </c>
      <c r="G84" s="140">
        <f t="shared" si="6"/>
        <v>0</v>
      </c>
      <c r="H84" s="140">
        <f t="shared" si="7"/>
        <v>0</v>
      </c>
      <c r="I84" s="140">
        <f>(H84*$M$66)+H84</f>
        <v>0</v>
      </c>
      <c r="J84" s="152" t="s">
        <v>108</v>
      </c>
      <c r="K84" s="153" t="s">
        <v>109</v>
      </c>
      <c r="L84" s="31"/>
      <c r="M84" s="125">
        <f>SUM(I77:I84)-SUM(G77:G84)</f>
        <v>47954.199999999983</v>
      </c>
    </row>
    <row r="85" spans="1:13" s="132" customFormat="1" ht="12" customHeight="1" x14ac:dyDescent="0.3">
      <c r="A85" s="72"/>
      <c r="B85" s="71"/>
      <c r="D85" s="265"/>
      <c r="E85" s="122"/>
      <c r="F85" s="122"/>
      <c r="G85" s="21">
        <f>SUM(G77:G84)</f>
        <v>72380</v>
      </c>
      <c r="H85" s="21">
        <f>SUM(H77:H84)</f>
        <v>114604</v>
      </c>
      <c r="I85" s="21">
        <f>SUM(I77:I84)</f>
        <v>120334.19999999998</v>
      </c>
      <c r="J85" s="21">
        <f>G85</f>
        <v>72380</v>
      </c>
      <c r="K85" s="34">
        <f>I85</f>
        <v>120334.19999999998</v>
      </c>
      <c r="L85" s="256">
        <f>IF(J85=0,0,(K85-J85)/J85)</f>
        <v>0.66253384912959357</v>
      </c>
      <c r="M85" s="187">
        <f>M73+M84</f>
        <v>104805.39999999997</v>
      </c>
    </row>
    <row r="86" spans="1:13" s="31" customFormat="1" ht="13.8" x14ac:dyDescent="0.3">
      <c r="A86" s="110"/>
      <c r="B86" s="257"/>
      <c r="C86" s="258"/>
      <c r="D86" s="274"/>
      <c r="E86" s="117"/>
      <c r="F86" s="117"/>
      <c r="G86" s="118"/>
      <c r="H86" s="110"/>
      <c r="I86" s="161"/>
      <c r="J86" s="162">
        <f>J74+J85</f>
        <v>193340</v>
      </c>
      <c r="K86" s="162">
        <f>K74+K85</f>
        <v>298145.39999999997</v>
      </c>
      <c r="L86" s="259">
        <f>IF(J86=0,0,(K86-J86)/K86)</f>
        <v>0.3515244575297824</v>
      </c>
      <c r="M86" s="173"/>
    </row>
    <row r="87" spans="1:13" s="31" customFormat="1" ht="13.8" x14ac:dyDescent="0.3">
      <c r="A87" s="112"/>
      <c r="B87" s="251"/>
      <c r="C87" s="252"/>
      <c r="D87" s="275"/>
      <c r="E87" s="215"/>
      <c r="F87" s="215"/>
      <c r="G87" s="216"/>
      <c r="H87" s="112"/>
      <c r="I87" s="217"/>
      <c r="J87" s="218"/>
      <c r="K87" s="218"/>
      <c r="L87" s="254"/>
      <c r="M87" s="213"/>
    </row>
    <row r="88" spans="1:13" ht="15.6" x14ac:dyDescent="0.3">
      <c r="B88" s="344" t="s">
        <v>150</v>
      </c>
      <c r="C88" s="239"/>
      <c r="D88" s="42"/>
      <c r="E88" s="239"/>
      <c r="F88" s="255"/>
      <c r="H88" s="132"/>
      <c r="I88" s="132"/>
      <c r="L88" s="93" t="s">
        <v>85</v>
      </c>
      <c r="M88" s="94"/>
    </row>
    <row r="89" spans="1:13" s="132" customFormat="1" ht="12" customHeight="1" x14ac:dyDescent="0.3">
      <c r="B89" s="59" t="s">
        <v>135</v>
      </c>
      <c r="C89" s="242">
        <v>750</v>
      </c>
      <c r="D89" s="266" t="s">
        <v>87</v>
      </c>
      <c r="E89" s="23">
        <v>355</v>
      </c>
      <c r="F89" s="133"/>
      <c r="H89" s="14"/>
      <c r="I89" s="14"/>
      <c r="J89" s="121"/>
      <c r="K89" s="121"/>
      <c r="L89" s="126" t="s">
        <v>88</v>
      </c>
      <c r="M89" s="243"/>
    </row>
    <row r="90" spans="1:13" s="132" customFormat="1" ht="12" customHeight="1" x14ac:dyDescent="0.3">
      <c r="B90" s="59" t="s">
        <v>141</v>
      </c>
      <c r="C90" s="25">
        <v>1</v>
      </c>
      <c r="D90" s="266" t="s">
        <v>89</v>
      </c>
      <c r="E90" s="23" t="s">
        <v>151</v>
      </c>
      <c r="J90" s="122"/>
      <c r="K90" s="121"/>
      <c r="L90" s="126" t="s">
        <v>90</v>
      </c>
      <c r="M90" s="243"/>
    </row>
    <row r="91" spans="1:13" s="132" customFormat="1" ht="12" customHeight="1" x14ac:dyDescent="0.3">
      <c r="B91" s="59" t="s">
        <v>142</v>
      </c>
      <c r="C91" s="27">
        <v>55</v>
      </c>
      <c r="D91" s="266" t="s">
        <v>91</v>
      </c>
      <c r="E91" s="23">
        <v>20</v>
      </c>
      <c r="I91" s="26"/>
      <c r="J91" s="29"/>
      <c r="K91" s="121"/>
      <c r="L91" s="126" t="s">
        <v>92</v>
      </c>
      <c r="M91" s="243"/>
    </row>
    <row r="92" spans="1:13" s="132" customFormat="1" ht="12" customHeight="1" x14ac:dyDescent="0.3">
      <c r="B92" s="59" t="s">
        <v>143</v>
      </c>
      <c r="C92" s="25">
        <v>2.8</v>
      </c>
      <c r="D92" s="266" t="s">
        <v>25</v>
      </c>
      <c r="E92" s="128">
        <f>SUM(C97:C101)</f>
        <v>2</v>
      </c>
      <c r="I92" s="26"/>
      <c r="J92" s="29"/>
      <c r="K92" s="121"/>
      <c r="L92" s="93" t="s">
        <v>94</v>
      </c>
      <c r="M92" s="94"/>
    </row>
    <row r="93" spans="1:13" s="132" customFormat="1" ht="12" customHeight="1" x14ac:dyDescent="0.3">
      <c r="B93" s="59" t="s">
        <v>144</v>
      </c>
      <c r="C93" s="25">
        <v>10</v>
      </c>
      <c r="D93" s="266" t="s">
        <v>44</v>
      </c>
      <c r="E93" s="244">
        <v>2</v>
      </c>
      <c r="I93" s="26"/>
      <c r="J93" s="29"/>
      <c r="K93" s="121"/>
      <c r="L93" s="57" t="s">
        <v>70</v>
      </c>
      <c r="M93" s="58">
        <v>0.05</v>
      </c>
    </row>
    <row r="94" spans="1:13" s="132" customFormat="1" ht="12" customHeight="1" x14ac:dyDescent="0.3">
      <c r="B94" s="28"/>
      <c r="C94" s="122"/>
      <c r="D94" s="267"/>
      <c r="E94" s="211"/>
      <c r="I94" s="26"/>
      <c r="J94" s="29"/>
      <c r="K94" s="121"/>
      <c r="L94" s="57" t="s">
        <v>80</v>
      </c>
      <c r="M94" s="58">
        <v>0.05</v>
      </c>
    </row>
    <row r="95" spans="1:13" s="132" customFormat="1" ht="12" customHeight="1" x14ac:dyDescent="0.3">
      <c r="B95" s="28"/>
      <c r="C95" s="28"/>
      <c r="D95" s="43"/>
      <c r="H95" s="29"/>
      <c r="I95" s="29"/>
      <c r="J95" s="29"/>
      <c r="K95" s="29"/>
      <c r="L95" s="122"/>
      <c r="M95" s="122">
        <v>5</v>
      </c>
    </row>
    <row r="96" spans="1:13" s="132" customFormat="1" ht="27.6" x14ac:dyDescent="0.3">
      <c r="A96" s="246" t="s">
        <v>145</v>
      </c>
      <c r="B96" s="246" t="s">
        <v>70</v>
      </c>
      <c r="C96" s="48" t="s">
        <v>47</v>
      </c>
      <c r="D96" s="135" t="s">
        <v>97</v>
      </c>
      <c r="E96" s="48" t="s">
        <v>98</v>
      </c>
      <c r="F96" s="48" t="s">
        <v>99</v>
      </c>
      <c r="G96" s="48" t="s">
        <v>22</v>
      </c>
      <c r="H96" s="48" t="s">
        <v>23</v>
      </c>
      <c r="I96" s="48" t="s">
        <v>100</v>
      </c>
      <c r="J96" s="124"/>
      <c r="K96" s="48"/>
      <c r="L96" s="48" t="s">
        <v>101</v>
      </c>
      <c r="M96" s="48" t="s">
        <v>0</v>
      </c>
    </row>
    <row r="97" spans="1:13" s="132" customFormat="1" ht="12" customHeight="1" x14ac:dyDescent="0.3">
      <c r="A97" s="137" t="s">
        <v>105</v>
      </c>
      <c r="B97" s="71" t="str">
        <f>IF(A97="","",VLOOKUP(A97,'Database Lab+Equip'!$A:$D,2,FALSE))</f>
        <v>Operator</v>
      </c>
      <c r="C97" s="142">
        <v>1</v>
      </c>
      <c r="D97" s="269">
        <v>12</v>
      </c>
      <c r="E97" s="140">
        <f>IF(A97="",0,VLOOKUP(A97,'Database Lab+Equip'!$A:$D,3,FALSE))</f>
        <v>90</v>
      </c>
      <c r="F97" s="140">
        <f>IF(A97="",0,VLOOKUP(A97,'Database Lab+Equip'!$A:$D,4,FALSE))</f>
        <v>125.99999999999999</v>
      </c>
      <c r="G97" s="140">
        <f>IF(A97="",0,C97*D97*E97*E$93)</f>
        <v>2160</v>
      </c>
      <c r="H97" s="140">
        <f>IF(A97="",0,C97*D97*F97*E$93)</f>
        <v>3023.9999999999995</v>
      </c>
      <c r="I97" s="140">
        <f>(H97*$M$93)+H97</f>
        <v>3175.1999999999994</v>
      </c>
      <c r="J97" s="84"/>
      <c r="K97" s="29"/>
      <c r="L97" s="122"/>
      <c r="M97" s="84"/>
    </row>
    <row r="98" spans="1:13" s="132" customFormat="1" ht="12" customHeight="1" x14ac:dyDescent="0.3">
      <c r="A98" s="312" t="s">
        <v>103</v>
      </c>
      <c r="B98" s="71" t="str">
        <f>IF(A98="","",VLOOKUP(A98,'Database Lab+Equip'!$A:$D,2,FALSE))</f>
        <v>Polywelder</v>
      </c>
      <c r="C98" s="313">
        <v>1</v>
      </c>
      <c r="D98" s="320">
        <v>12</v>
      </c>
      <c r="E98" s="140">
        <f>IF(A98="",0,VLOOKUP(A98,'Database Lab+Equip'!$A:$D,3,FALSE))</f>
        <v>90</v>
      </c>
      <c r="F98" s="140">
        <f>IF(A98="",0,VLOOKUP(A98,'Database Lab+Equip'!$A:$D,4,FALSE))</f>
        <v>125.99999999999999</v>
      </c>
      <c r="G98" s="140">
        <f>IF(A98="",0,C98*D98*E98*E$93)</f>
        <v>2160</v>
      </c>
      <c r="H98" s="140">
        <f>IF(A98="",0,C98*D98*F98*E$93)</f>
        <v>3023.9999999999995</v>
      </c>
      <c r="I98" s="140">
        <f>(H98*$M$93)+H98</f>
        <v>3175.1999999999994</v>
      </c>
      <c r="J98" s="84"/>
      <c r="K98" s="29"/>
      <c r="L98" s="122"/>
      <c r="M98" s="122"/>
    </row>
    <row r="99" spans="1:13" s="132" customFormat="1" ht="12" customHeight="1" x14ac:dyDescent="0.3">
      <c r="A99" s="312"/>
      <c r="B99" s="71" t="str">
        <f>IF(A99="","",VLOOKUP(A99,'Database Lab+Equip'!$A:$D,2,FALSE))</f>
        <v/>
      </c>
      <c r="C99" s="313"/>
      <c r="D99" s="320"/>
      <c r="E99" s="140">
        <f>IF(A99="",0,VLOOKUP(A99,'Database Lab+Equip'!$A:$D,3,FALSE))</f>
        <v>0</v>
      </c>
      <c r="F99" s="140">
        <f>IF(A99="",0,VLOOKUP(A99,'Database Lab+Equip'!$A:$D,4,FALSE))</f>
        <v>0</v>
      </c>
      <c r="G99" s="140">
        <f>IF(A99="",0,C99*D99*E99*E$93)</f>
        <v>0</v>
      </c>
      <c r="H99" s="140">
        <f>IF(A99="",0,C99*D99*F99*E$93)</f>
        <v>0</v>
      </c>
      <c r="I99" s="140">
        <f>(H99*$M$93)+H99</f>
        <v>0</v>
      </c>
      <c r="J99" s="84"/>
      <c r="K99" s="29"/>
      <c r="L99" s="122"/>
      <c r="M99" s="122"/>
    </row>
    <row r="100" spans="1:13" s="132" customFormat="1" ht="12" customHeight="1" x14ac:dyDescent="0.3">
      <c r="A100" s="312"/>
      <c r="B100" s="71" t="str">
        <f>IF(A100="","",VLOOKUP(A100,'Database Lab+Equip'!$A:$D,2,FALSE))</f>
        <v/>
      </c>
      <c r="C100" s="313"/>
      <c r="D100" s="320"/>
      <c r="E100" s="140">
        <f>IF(A100="",0,VLOOKUP(A100,'Database Lab+Equip'!$A:$D,3,FALSE))</f>
        <v>0</v>
      </c>
      <c r="F100" s="140">
        <f>IF(A100="",0,VLOOKUP(A100,'Database Lab+Equip'!$A:$D,4,FALSE))</f>
        <v>0</v>
      </c>
      <c r="G100" s="140">
        <f>IF(A100="",0,C100*D100*E100*E$93)</f>
        <v>0</v>
      </c>
      <c r="H100" s="140">
        <f>IF(A100="",0,C100*D100*F100*E$93)</f>
        <v>0</v>
      </c>
      <c r="I100" s="140">
        <f>(H100*$M$93)+H100</f>
        <v>0</v>
      </c>
      <c r="J100" s="84"/>
      <c r="K100" s="29"/>
      <c r="L100" s="122"/>
      <c r="M100" s="122"/>
    </row>
    <row r="101" spans="1:13" s="132" customFormat="1" ht="12" customHeight="1" x14ac:dyDescent="0.3">
      <c r="A101" s="312"/>
      <c r="B101" s="315" t="s">
        <v>152</v>
      </c>
      <c r="C101" s="313"/>
      <c r="D101" s="320"/>
      <c r="E101" s="140">
        <f>IF(A101="",0,VLOOKUP(A101,'Database Lab+Equip'!$A:$D,3,FALSE))</f>
        <v>0</v>
      </c>
      <c r="F101" s="140">
        <f>IF(A101="",0,VLOOKUP(A101,'Database Lab+Equip'!$A:$D,4,FALSE))</f>
        <v>0</v>
      </c>
      <c r="G101" s="140">
        <f>IF(A101="",0,C101*D101*E101*E$93)</f>
        <v>0</v>
      </c>
      <c r="H101" s="140">
        <f>IF(A101="",0,C101*D101*F101*E$93)</f>
        <v>0</v>
      </c>
      <c r="I101" s="140">
        <f>(H101*$M$93)+H101</f>
        <v>0</v>
      </c>
      <c r="J101" s="152" t="s">
        <v>108</v>
      </c>
      <c r="K101" s="153" t="s">
        <v>109</v>
      </c>
      <c r="L101" s="31"/>
      <c r="M101" s="123"/>
    </row>
    <row r="102" spans="1:13" s="132" customFormat="1" ht="12" customHeight="1" x14ac:dyDescent="0.3">
      <c r="A102" s="35"/>
      <c r="B102" s="318"/>
      <c r="C102" s="317"/>
      <c r="D102" s="321"/>
      <c r="E102" s="140"/>
      <c r="F102" s="140"/>
      <c r="G102" s="21">
        <f>SUM(G97:G101)</f>
        <v>4320</v>
      </c>
      <c r="H102" s="21">
        <f>SUM(H97:H101)</f>
        <v>6047.9999999999991</v>
      </c>
      <c r="I102" s="21">
        <f>SUM(I97:I101)</f>
        <v>6350.3999999999987</v>
      </c>
      <c r="J102" s="21">
        <f>G102</f>
        <v>4320</v>
      </c>
      <c r="K102" s="34">
        <f>I102</f>
        <v>6350.3999999999987</v>
      </c>
      <c r="L102" s="247">
        <f>IF(J102=0,0,(K102-J102)/J102)</f>
        <v>0.4699999999999997</v>
      </c>
      <c r="M102" s="122"/>
    </row>
    <row r="103" spans="1:13" s="132" customFormat="1" ht="12" customHeight="1" x14ac:dyDescent="0.3">
      <c r="A103" s="35"/>
      <c r="B103" s="315"/>
      <c r="C103" s="310"/>
      <c r="D103" s="319"/>
      <c r="E103" s="122"/>
      <c r="F103" s="122"/>
      <c r="G103" s="122"/>
      <c r="H103" s="122"/>
      <c r="I103" s="144"/>
      <c r="J103" s="84"/>
      <c r="K103" s="29"/>
      <c r="L103" s="122"/>
      <c r="M103" s="122"/>
    </row>
    <row r="104" spans="1:13" s="132" customFormat="1" ht="41.4" x14ac:dyDescent="0.3">
      <c r="A104" s="316" t="s">
        <v>96</v>
      </c>
      <c r="B104" s="316" t="s">
        <v>80</v>
      </c>
      <c r="C104" s="309" t="s">
        <v>47</v>
      </c>
      <c r="D104" s="311" t="s">
        <v>110</v>
      </c>
      <c r="E104" s="48" t="s">
        <v>98</v>
      </c>
      <c r="F104" s="48" t="s">
        <v>99</v>
      </c>
      <c r="G104" s="48" t="s">
        <v>22</v>
      </c>
      <c r="H104" s="48" t="s">
        <v>23</v>
      </c>
      <c r="I104" s="48" t="s">
        <v>100</v>
      </c>
      <c r="J104" s="145"/>
      <c r="K104" s="48"/>
      <c r="L104" s="124"/>
      <c r="M104" s="124"/>
    </row>
    <row r="105" spans="1:13" s="132" customFormat="1" ht="12" customHeight="1" x14ac:dyDescent="0.3">
      <c r="A105" s="314" t="s">
        <v>118</v>
      </c>
      <c r="B105" s="71" t="str">
        <f>IF(A105="","",VLOOKUP(A105,'Database Lab+Equip'!$F:$I,2,FALSE))</f>
        <v>Kubota Lowboy Genset 6kVa Silenced</v>
      </c>
      <c r="C105" s="323">
        <v>1</v>
      </c>
      <c r="D105" s="324">
        <v>1</v>
      </c>
      <c r="E105" s="140">
        <f>IF(A105="",0,VLOOKUP(A105,'Database Lab+Equip'!$F:$I,3,FALSE))</f>
        <v>25</v>
      </c>
      <c r="F105" s="140">
        <f>IF(A105="",0,VLOOKUP(A105,'Database Lab+Equip'!$F:$I,4,FALSE))</f>
        <v>45</v>
      </c>
      <c r="G105" s="140">
        <f>IF(A105="",0,C105*D105*E105*E$93)</f>
        <v>50</v>
      </c>
      <c r="H105" s="140">
        <f>IF(A105="",0,C105*D105*F105*E$93)</f>
        <v>90</v>
      </c>
      <c r="I105" s="140">
        <f>(H105*$M$94)+H105</f>
        <v>94.5</v>
      </c>
      <c r="J105" s="84"/>
      <c r="K105" s="29"/>
      <c r="L105" s="122"/>
      <c r="M105" s="84"/>
    </row>
    <row r="106" spans="1:13" s="132" customFormat="1" ht="12" customHeight="1" x14ac:dyDescent="0.3">
      <c r="A106" s="314" t="s">
        <v>119</v>
      </c>
      <c r="B106" s="71" t="str">
        <f>IF(A106="","",VLOOKUP(A106,'Database Lab+Equip'!$F:$I,2,FALSE))</f>
        <v>HF350 Polywelding Machine c/w dies</v>
      </c>
      <c r="C106" s="313">
        <v>1</v>
      </c>
      <c r="D106" s="322">
        <v>1</v>
      </c>
      <c r="E106" s="140">
        <f>IF(A106="",0,VLOOKUP(A106,'Database Lab+Equip'!$F:$I,3,FALSE))</f>
        <v>110</v>
      </c>
      <c r="F106" s="140">
        <f>IF(A106="",0,VLOOKUP(A106,'Database Lab+Equip'!$F:$I,4,FALSE))</f>
        <v>198</v>
      </c>
      <c r="G106" s="140">
        <f t="shared" ref="G106:G111" si="9">IF(A106="",0,C106*D106*E106*E$93)</f>
        <v>220</v>
      </c>
      <c r="H106" s="140">
        <f t="shared" ref="H106:H111" si="10">IF(A106="",0,C106*D106*F106*E$93)</f>
        <v>396</v>
      </c>
      <c r="I106" s="140">
        <f t="shared" ref="I106:I111" si="11">(H106*$M$94)+H106</f>
        <v>415.8</v>
      </c>
      <c r="J106" s="122"/>
      <c r="K106" s="29"/>
      <c r="L106" s="122"/>
      <c r="M106" s="122"/>
    </row>
    <row r="107" spans="1:13" s="132" customFormat="1" ht="12" customHeight="1" x14ac:dyDescent="0.3">
      <c r="A107" s="314" t="s">
        <v>116</v>
      </c>
      <c r="B107" s="71" t="str">
        <f>IF(A107="","",VLOOKUP(A107,'Database Lab+Equip'!$F:$I,2,FALSE))</f>
        <v>Hand tools</v>
      </c>
      <c r="C107" s="313">
        <v>1</v>
      </c>
      <c r="D107" s="322">
        <v>1</v>
      </c>
      <c r="E107" s="140">
        <f>IF(A107="",0,VLOOKUP(A107,'Database Lab+Equip'!$F:$I,3,FALSE))</f>
        <v>85</v>
      </c>
      <c r="F107" s="140">
        <f>IF(A107="",0,VLOOKUP(A107,'Database Lab+Equip'!$F:$I,4,FALSE))</f>
        <v>153</v>
      </c>
      <c r="G107" s="140">
        <f t="shared" si="9"/>
        <v>170</v>
      </c>
      <c r="H107" s="140">
        <f t="shared" si="10"/>
        <v>306</v>
      </c>
      <c r="I107" s="140">
        <f t="shared" si="11"/>
        <v>321.3</v>
      </c>
      <c r="J107" s="84"/>
      <c r="K107" s="29"/>
      <c r="L107" s="122"/>
      <c r="M107" s="122"/>
    </row>
    <row r="108" spans="1:13" s="132" customFormat="1" ht="12" customHeight="1" x14ac:dyDescent="0.3">
      <c r="A108" s="314" t="s">
        <v>111</v>
      </c>
      <c r="B108" s="71" t="str">
        <f>IF(A108="","",VLOOKUP(A108,'Database Lab+Equip'!$F:$I,2,FALSE))</f>
        <v>Light 4WD Vehicle - D/Cab Ute</v>
      </c>
      <c r="C108" s="313">
        <v>1</v>
      </c>
      <c r="D108" s="322">
        <v>1</v>
      </c>
      <c r="E108" s="140">
        <f>IF(A108="",0,VLOOKUP(A108,'Database Lab+Equip'!$F:$I,3,FALSE))</f>
        <v>120</v>
      </c>
      <c r="F108" s="140">
        <f>IF(A108="",0,VLOOKUP(A108,'Database Lab+Equip'!$F:$I,4,FALSE))</f>
        <v>216</v>
      </c>
      <c r="G108" s="140">
        <f t="shared" si="9"/>
        <v>240</v>
      </c>
      <c r="H108" s="140">
        <f t="shared" si="10"/>
        <v>432</v>
      </c>
      <c r="I108" s="140">
        <f t="shared" si="11"/>
        <v>453.6</v>
      </c>
      <c r="J108" s="84"/>
      <c r="K108" s="29"/>
      <c r="L108" s="122"/>
      <c r="M108" s="122"/>
    </row>
    <row r="109" spans="1:13" s="132" customFormat="1" ht="12" customHeight="1" x14ac:dyDescent="0.3">
      <c r="A109" s="148" t="s">
        <v>120</v>
      </c>
      <c r="B109" s="71" t="str">
        <f>IF(A109="","",VLOOKUP(A109,'Database Lab+Equip'!$F:$I,2,FALSE))</f>
        <v>WA320</v>
      </c>
      <c r="C109" s="142">
        <v>1</v>
      </c>
      <c r="D109" s="272">
        <v>1</v>
      </c>
      <c r="E109" s="140">
        <f>IF(A109="",0,VLOOKUP(A109,'Database Lab+Equip'!$F:$I,3,FALSE))</f>
        <v>400</v>
      </c>
      <c r="F109" s="140">
        <f>IF(A109="",0,VLOOKUP(A109,'Database Lab+Equip'!$F:$I,4,FALSE))</f>
        <v>720</v>
      </c>
      <c r="G109" s="140">
        <f t="shared" si="9"/>
        <v>800</v>
      </c>
      <c r="H109" s="140">
        <f t="shared" si="10"/>
        <v>1440</v>
      </c>
      <c r="I109" s="140">
        <f t="shared" si="11"/>
        <v>1512</v>
      </c>
      <c r="J109" s="84"/>
      <c r="K109" s="29"/>
      <c r="L109" s="122"/>
      <c r="M109" s="122"/>
    </row>
    <row r="110" spans="1:13" s="132" customFormat="1" ht="12" customHeight="1" x14ac:dyDescent="0.3">
      <c r="A110" s="148"/>
      <c r="B110" s="71" t="str">
        <f>IF(A110="","",VLOOKUP(A110,'Database Lab+Equip'!$F:$I,2,FALSE))</f>
        <v/>
      </c>
      <c r="C110" s="142"/>
      <c r="D110" s="272"/>
      <c r="E110" s="140">
        <f>IF(A110="",0,VLOOKUP(A110,'Database Lab+Equip'!$F:$I,3,FALSE))</f>
        <v>0</v>
      </c>
      <c r="F110" s="140">
        <f>IF(A110="",0,VLOOKUP(A110,'Database Lab+Equip'!$F:$I,4,FALSE))</f>
        <v>0</v>
      </c>
      <c r="G110" s="140">
        <f t="shared" si="9"/>
        <v>0</v>
      </c>
      <c r="H110" s="140">
        <f t="shared" si="10"/>
        <v>0</v>
      </c>
      <c r="I110" s="140">
        <f t="shared" si="11"/>
        <v>0</v>
      </c>
      <c r="J110" s="84"/>
      <c r="K110" s="29"/>
      <c r="L110" s="122"/>
      <c r="M110" s="122"/>
    </row>
    <row r="111" spans="1:13" s="132" customFormat="1" ht="12" customHeight="1" x14ac:dyDescent="0.3">
      <c r="A111" s="148"/>
      <c r="B111" s="71" t="str">
        <f>IF(A111="","",VLOOKUP(A111,'Database Lab+Equip'!$F:$I,2,FALSE))</f>
        <v/>
      </c>
      <c r="C111" s="150"/>
      <c r="D111" s="273"/>
      <c r="E111" s="140">
        <f>IF(A111="",0,VLOOKUP(A111,'Database Lab+Equip'!$F:$I,3,FALSE))</f>
        <v>0</v>
      </c>
      <c r="F111" s="140">
        <f>IF(A111="",0,VLOOKUP(A111,'Database Lab+Equip'!$F:$I,4,FALSE))</f>
        <v>0</v>
      </c>
      <c r="G111" s="140">
        <f t="shared" si="9"/>
        <v>0</v>
      </c>
      <c r="H111" s="140">
        <f t="shared" si="10"/>
        <v>0</v>
      </c>
      <c r="I111" s="140">
        <f t="shared" si="11"/>
        <v>0</v>
      </c>
      <c r="J111" s="84"/>
      <c r="K111" s="29"/>
      <c r="L111" s="122"/>
      <c r="M111" s="122"/>
    </row>
    <row r="112" spans="1:13" s="132" customFormat="1" ht="12" customHeight="1" x14ac:dyDescent="0.3">
      <c r="A112" s="148"/>
      <c r="B112" s="71" t="str">
        <f>IF(A112="","",VLOOKUP(A112,'Database Lab+Equip'!$F:$I,2,FALSE))</f>
        <v/>
      </c>
      <c r="C112" s="150"/>
      <c r="D112" s="273"/>
      <c r="E112" s="140">
        <f>IF(A112="",0,VLOOKUP(A112,'Database Lab+Equip'!$F:$I,3,FALSE))</f>
        <v>0</v>
      </c>
      <c r="F112" s="140">
        <f>IF(A112="",0,VLOOKUP(A112,'Database Lab+Equip'!$F:$I,4,FALSE))</f>
        <v>0</v>
      </c>
      <c r="G112" s="140">
        <f>IF(A112="",0,C112*D112*E112*E$93)</f>
        <v>0</v>
      </c>
      <c r="H112" s="140">
        <f>IF(A112="",0,C112*D112*F112*E$93)</f>
        <v>0</v>
      </c>
      <c r="I112" s="140">
        <f>(H112*$M$94)+H112</f>
        <v>0</v>
      </c>
      <c r="J112" s="152" t="s">
        <v>108</v>
      </c>
      <c r="K112" s="153" t="s">
        <v>109</v>
      </c>
      <c r="L112" s="31"/>
      <c r="M112" s="125">
        <f>SUM(I105:I112)-SUM(G105:G112)</f>
        <v>1317.1999999999998</v>
      </c>
    </row>
    <row r="113" spans="1:13" s="132" customFormat="1" ht="12" customHeight="1" x14ac:dyDescent="0.3">
      <c r="A113" s="72"/>
      <c r="B113" s="71"/>
      <c r="D113" s="265"/>
      <c r="E113" s="122"/>
      <c r="F113" s="122"/>
      <c r="G113" s="21">
        <f>SUM(G105:G112)</f>
        <v>1480</v>
      </c>
      <c r="H113" s="21">
        <f>SUM(H105:H112)</f>
        <v>2664</v>
      </c>
      <c r="I113" s="21">
        <f>SUM(I105:I112)</f>
        <v>2797.2</v>
      </c>
      <c r="J113" s="21">
        <f>G113</f>
        <v>1480</v>
      </c>
      <c r="K113" s="34">
        <f>I113</f>
        <v>2797.2</v>
      </c>
      <c r="L113" s="256">
        <f>IF(J113=0,0,(K113-J113)/J113)</f>
        <v>0.8899999999999999</v>
      </c>
      <c r="M113" s="187">
        <f>M101+M112</f>
        <v>1317.1999999999998</v>
      </c>
    </row>
    <row r="114" spans="1:13" s="31" customFormat="1" ht="13.8" x14ac:dyDescent="0.3">
      <c r="A114" s="110"/>
      <c r="B114" s="257"/>
      <c r="C114" s="258"/>
      <c r="D114" s="274"/>
      <c r="E114" s="117"/>
      <c r="F114" s="117"/>
      <c r="G114" s="118"/>
      <c r="H114" s="110"/>
      <c r="I114" s="161"/>
      <c r="J114" s="162">
        <f>J102+J113</f>
        <v>5800</v>
      </c>
      <c r="K114" s="162">
        <f>K102+K113</f>
        <v>9147.5999999999985</v>
      </c>
      <c r="L114" s="259">
        <f>IF(J114=0,0,(K114-J114)/K114)</f>
        <v>0.36595391140845679</v>
      </c>
      <c r="M114" s="173"/>
    </row>
    <row r="115" spans="1:13" s="31" customFormat="1" ht="13.8" x14ac:dyDescent="0.3">
      <c r="A115" s="112"/>
      <c r="B115" s="251"/>
      <c r="C115" s="252"/>
      <c r="D115" s="275"/>
      <c r="E115" s="215"/>
      <c r="F115" s="215"/>
      <c r="G115" s="216"/>
      <c r="H115" s="112"/>
      <c r="I115" s="217"/>
      <c r="J115" s="218"/>
      <c r="K115" s="218"/>
      <c r="L115" s="254"/>
      <c r="M115" s="213"/>
    </row>
    <row r="116" spans="1:13" ht="15.6" x14ac:dyDescent="0.3">
      <c r="B116" s="304" t="s">
        <v>376</v>
      </c>
      <c r="C116" s="239"/>
      <c r="D116" s="42"/>
      <c r="E116" s="239"/>
      <c r="F116" s="255"/>
      <c r="H116" s="132"/>
      <c r="I116" s="132"/>
      <c r="L116" s="93" t="s">
        <v>85</v>
      </c>
      <c r="M116" s="94"/>
    </row>
    <row r="117" spans="1:13" s="132" customFormat="1" ht="12" customHeight="1" x14ac:dyDescent="0.3">
      <c r="B117" s="59" t="s">
        <v>135</v>
      </c>
      <c r="C117" s="242"/>
      <c r="D117" s="266" t="s">
        <v>87</v>
      </c>
      <c r="E117" s="23"/>
      <c r="F117" s="133"/>
      <c r="H117" s="14"/>
      <c r="I117" s="14"/>
      <c r="J117" s="121"/>
      <c r="K117" s="121"/>
      <c r="L117" s="126" t="s">
        <v>88</v>
      </c>
      <c r="M117" s="243"/>
    </row>
    <row r="118" spans="1:13" s="132" customFormat="1" ht="12" customHeight="1" x14ac:dyDescent="0.3">
      <c r="B118" s="59" t="s">
        <v>141</v>
      </c>
      <c r="C118" s="25"/>
      <c r="D118" s="266" t="s">
        <v>89</v>
      </c>
      <c r="E118" s="23"/>
      <c r="J118" s="122"/>
      <c r="K118" s="121"/>
      <c r="L118" s="126" t="s">
        <v>90</v>
      </c>
      <c r="M118" s="243"/>
    </row>
    <row r="119" spans="1:13" s="132" customFormat="1" ht="12" customHeight="1" x14ac:dyDescent="0.3">
      <c r="B119" s="59" t="s">
        <v>142</v>
      </c>
      <c r="C119" s="27" t="str">
        <f>IF(C117="","",C117/E119+C118)</f>
        <v/>
      </c>
      <c r="D119" s="266" t="s">
        <v>91</v>
      </c>
      <c r="E119" s="23"/>
      <c r="I119" s="26"/>
      <c r="J119" s="29"/>
      <c r="K119" s="121"/>
      <c r="L119" s="126" t="s">
        <v>92</v>
      </c>
      <c r="M119" s="243"/>
    </row>
    <row r="120" spans="1:13" s="132" customFormat="1" ht="12" customHeight="1" x14ac:dyDescent="0.3">
      <c r="B120" s="59" t="s">
        <v>143</v>
      </c>
      <c r="C120" s="25"/>
      <c r="D120" s="266" t="s">
        <v>25</v>
      </c>
      <c r="E120" s="128">
        <f>SUM(C125:C129)</f>
        <v>3</v>
      </c>
      <c r="I120" s="26"/>
      <c r="J120" s="29"/>
      <c r="K120" s="121"/>
      <c r="L120" s="93" t="s">
        <v>94</v>
      </c>
      <c r="M120" s="94"/>
    </row>
    <row r="121" spans="1:13" s="132" customFormat="1" ht="12" customHeight="1" x14ac:dyDescent="0.3">
      <c r="B121" s="59" t="s">
        <v>144</v>
      </c>
      <c r="C121" s="25">
        <v>10</v>
      </c>
      <c r="D121" s="266" t="s">
        <v>44</v>
      </c>
      <c r="E121" s="244">
        <v>16</v>
      </c>
      <c r="I121" s="26"/>
      <c r="J121" s="29"/>
      <c r="K121" s="121"/>
      <c r="L121" s="57" t="s">
        <v>70</v>
      </c>
      <c r="M121" s="58">
        <v>0.05</v>
      </c>
    </row>
    <row r="122" spans="1:13" s="132" customFormat="1" ht="12" customHeight="1" x14ac:dyDescent="0.3">
      <c r="B122" s="28"/>
      <c r="C122" s="122"/>
      <c r="D122" s="267"/>
      <c r="E122" s="211"/>
      <c r="I122" s="26"/>
      <c r="J122" s="29"/>
      <c r="K122" s="121"/>
      <c r="L122" s="57" t="s">
        <v>80</v>
      </c>
      <c r="M122" s="58">
        <v>0.05</v>
      </c>
    </row>
    <row r="123" spans="1:13" s="132" customFormat="1" ht="12" customHeight="1" x14ac:dyDescent="0.3">
      <c r="B123" s="28"/>
      <c r="C123" s="28"/>
      <c r="D123" s="43"/>
      <c r="H123" s="29"/>
      <c r="I123" s="29"/>
      <c r="J123" s="29"/>
      <c r="K123" s="29"/>
      <c r="L123" s="122"/>
      <c r="M123" s="122"/>
    </row>
    <row r="124" spans="1:13" s="132" customFormat="1" ht="27.6" x14ac:dyDescent="0.3">
      <c r="A124" s="246" t="s">
        <v>145</v>
      </c>
      <c r="B124" s="246" t="s">
        <v>70</v>
      </c>
      <c r="C124" s="48" t="s">
        <v>47</v>
      </c>
      <c r="D124" s="135" t="s">
        <v>97</v>
      </c>
      <c r="E124" s="48" t="s">
        <v>98</v>
      </c>
      <c r="F124" s="48" t="s">
        <v>99</v>
      </c>
      <c r="G124" s="48" t="s">
        <v>22</v>
      </c>
      <c r="H124" s="48" t="s">
        <v>23</v>
      </c>
      <c r="I124" s="48" t="s">
        <v>100</v>
      </c>
      <c r="J124" s="124"/>
      <c r="K124" s="48"/>
      <c r="L124" s="48" t="s">
        <v>101</v>
      </c>
      <c r="M124" s="48" t="s">
        <v>0</v>
      </c>
    </row>
    <row r="125" spans="1:13" s="132" customFormat="1" ht="12" customHeight="1" x14ac:dyDescent="0.3">
      <c r="A125" s="137" t="s">
        <v>105</v>
      </c>
      <c r="B125" s="71" t="str">
        <f>IF(A125="","",VLOOKUP(A125,'Database Lab+Equip'!$A:$D,2,FALSE))</f>
        <v>Operator</v>
      </c>
      <c r="C125" s="142">
        <v>1</v>
      </c>
      <c r="D125" s="269">
        <v>12</v>
      </c>
      <c r="E125" s="140">
        <f>IF(A125="",0,VLOOKUP(A125,'Database Lab+Equip'!$A:$D,3,FALSE))</f>
        <v>90</v>
      </c>
      <c r="F125" s="140">
        <f>IF(A125="",0,VLOOKUP(A125,'Database Lab+Equip'!$A:$D,4,FALSE))</f>
        <v>125.99999999999999</v>
      </c>
      <c r="G125" s="140">
        <f>IF(A125="",0,C125*D125*E125*E$121)</f>
        <v>17280</v>
      </c>
      <c r="H125" s="140">
        <f>IF(A125="",0,C125*D125*F125*E$121)</f>
        <v>24191.999999999996</v>
      </c>
      <c r="I125" s="140">
        <f>(H125*$M$121)+H125</f>
        <v>25401.599999999995</v>
      </c>
      <c r="J125" s="84"/>
      <c r="K125" s="29"/>
      <c r="L125" s="122"/>
      <c r="M125" s="84" t="s">
        <v>153</v>
      </c>
    </row>
    <row r="126" spans="1:13" s="132" customFormat="1" ht="12" customHeight="1" x14ac:dyDescent="0.3">
      <c r="A126" s="137" t="s">
        <v>103</v>
      </c>
      <c r="B126" s="71" t="str">
        <f>IF(A126="","",VLOOKUP(A126,'Database Lab+Equip'!$A:$D,2,FALSE))</f>
        <v>Polywelder</v>
      </c>
      <c r="C126" s="142">
        <v>1</v>
      </c>
      <c r="D126" s="269">
        <v>12</v>
      </c>
      <c r="E126" s="140">
        <f>IF(A126="",0,VLOOKUP(A126,'Database Lab+Equip'!$A:$D,3,FALSE))</f>
        <v>90</v>
      </c>
      <c r="F126" s="140">
        <f>IF(A126="",0,VLOOKUP(A126,'Database Lab+Equip'!$A:$D,4,FALSE))</f>
        <v>125.99999999999999</v>
      </c>
      <c r="G126" s="140">
        <f>IF(A126="",0,C126*D126*E126*E$121)</f>
        <v>17280</v>
      </c>
      <c r="H126" s="140">
        <f>IF(A126="",0,C126*D126*F126*E$121)</f>
        <v>24191.999999999996</v>
      </c>
      <c r="I126" s="140">
        <f>(H126*$M$121)+H126</f>
        <v>25401.599999999995</v>
      </c>
      <c r="J126" s="84"/>
      <c r="K126" s="29"/>
      <c r="L126" s="122"/>
      <c r="M126" s="122" t="s">
        <v>154</v>
      </c>
    </row>
    <row r="127" spans="1:13" s="132" customFormat="1" ht="12" customHeight="1" x14ac:dyDescent="0.3">
      <c r="A127" s="137" t="s">
        <v>106</v>
      </c>
      <c r="B127" s="71" t="str">
        <f>IF(A127="","",VLOOKUP(A127,'Database Lab+Equip'!$A:$D,2,FALSE))</f>
        <v>Trades Assistant</v>
      </c>
      <c r="C127" s="142">
        <v>1</v>
      </c>
      <c r="D127" s="269">
        <v>12</v>
      </c>
      <c r="E127" s="140">
        <f>IF(A127="",0,VLOOKUP(A127,'Database Lab+Equip'!$A:$D,3,FALSE))</f>
        <v>85</v>
      </c>
      <c r="F127" s="140">
        <f>IF(A127="",0,VLOOKUP(A127,'Database Lab+Equip'!$A:$D,4,FALSE))</f>
        <v>118.99999999999999</v>
      </c>
      <c r="G127" s="140">
        <f>IF(A127="",0,C127*D127*E127*E$121)</f>
        <v>16320</v>
      </c>
      <c r="H127" s="140">
        <f>IF(A127="",0,C127*D127*F127*E$121)</f>
        <v>22847.999999999996</v>
      </c>
      <c r="I127" s="140">
        <f>(H127*$M$121)+H127</f>
        <v>23990.399999999998</v>
      </c>
      <c r="J127" s="84"/>
      <c r="K127" s="29"/>
      <c r="L127" s="122"/>
      <c r="M127" s="122"/>
    </row>
    <row r="128" spans="1:13" s="132" customFormat="1" ht="12" customHeight="1" x14ac:dyDescent="0.3">
      <c r="A128" s="137"/>
      <c r="B128" s="71" t="str">
        <f>IF(A128="","",VLOOKUP(A128,'Database Lab+Equip'!$A:$D,2,FALSE))</f>
        <v/>
      </c>
      <c r="C128" s="142"/>
      <c r="D128" s="269"/>
      <c r="E128" s="140">
        <f>IF(A128="",0,VLOOKUP(A128,'Database Lab+Equip'!$A:$D,3,FALSE))</f>
        <v>0</v>
      </c>
      <c r="F128" s="140">
        <f>IF(A128="",0,VLOOKUP(A128,'Database Lab+Equip'!$A:$D,4,FALSE))</f>
        <v>0</v>
      </c>
      <c r="G128" s="140">
        <f>IF(A128="",0,C128*D128*E128*E$121)</f>
        <v>0</v>
      </c>
      <c r="H128" s="140">
        <f>IF(A128="",0,C128*D128*F128*E$121)</f>
        <v>0</v>
      </c>
      <c r="I128" s="140">
        <f>(H128*$M$121)+H128</f>
        <v>0</v>
      </c>
      <c r="J128" s="84"/>
      <c r="K128" s="29"/>
      <c r="L128" s="122"/>
      <c r="M128" s="122"/>
    </row>
    <row r="129" spans="1:13" s="132" customFormat="1" ht="12" customHeight="1" x14ac:dyDescent="0.3">
      <c r="A129" s="137"/>
      <c r="B129" s="71" t="str">
        <f>IF(A129="","",VLOOKUP(A129,'Database Lab+Equip'!$A:$D,2,FALSE))</f>
        <v/>
      </c>
      <c r="C129" s="142"/>
      <c r="D129" s="269"/>
      <c r="E129" s="140">
        <f>IF(A129="",0,VLOOKUP(A129,'Database Lab+Equip'!$A:$D,3,FALSE))</f>
        <v>0</v>
      </c>
      <c r="F129" s="140">
        <f>IF(A129="",0,VLOOKUP(A129,'Database Lab+Equip'!$A:$D,4,FALSE))</f>
        <v>0</v>
      </c>
      <c r="G129" s="140">
        <f>IF(A129="",0,C129*D129*E129*E$121)</f>
        <v>0</v>
      </c>
      <c r="H129" s="140">
        <f>IF(A129="",0,C129*D129*F129*E$121)</f>
        <v>0</v>
      </c>
      <c r="I129" s="140">
        <f>(H129*$M$121)+H129</f>
        <v>0</v>
      </c>
      <c r="J129" s="152" t="s">
        <v>108</v>
      </c>
      <c r="K129" s="153" t="s">
        <v>109</v>
      </c>
      <c r="L129" s="31"/>
      <c r="M129" s="123">
        <f>SUM(I125:I129)-SUM(G125:G129)</f>
        <v>23913.599999999991</v>
      </c>
    </row>
    <row r="130" spans="1:13" s="132" customFormat="1" ht="12" customHeight="1" x14ac:dyDescent="0.3">
      <c r="A130" s="35"/>
      <c r="C130" s="140"/>
      <c r="D130" s="270"/>
      <c r="E130" s="140"/>
      <c r="F130" s="140"/>
      <c r="G130" s="21">
        <f>SUM(G125:G129)</f>
        <v>50880</v>
      </c>
      <c r="H130" s="21">
        <f>SUM(H125:H129)</f>
        <v>71231.999999999985</v>
      </c>
      <c r="I130" s="21">
        <f>SUM(I125:I129)</f>
        <v>74793.599999999991</v>
      </c>
      <c r="J130" s="21">
        <f>G130</f>
        <v>50880</v>
      </c>
      <c r="K130" s="34">
        <f>I130</f>
        <v>74793.599999999991</v>
      </c>
      <c r="L130" s="247">
        <f>IF(J130=0,0,(K130-J130)/J130)</f>
        <v>0.46999999999999981</v>
      </c>
      <c r="M130" s="122"/>
    </row>
    <row r="131" spans="1:13" s="132" customFormat="1" ht="12" customHeight="1" x14ac:dyDescent="0.3">
      <c r="A131" s="35"/>
      <c r="B131" s="71"/>
      <c r="C131" s="122"/>
      <c r="D131" s="265"/>
      <c r="E131" s="122"/>
      <c r="F131" s="122"/>
      <c r="G131" s="122"/>
      <c r="H131" s="122"/>
      <c r="I131" s="144"/>
      <c r="J131" s="84"/>
      <c r="K131" s="29"/>
      <c r="L131" s="122"/>
      <c r="M131" s="122"/>
    </row>
    <row r="132" spans="1:13" s="132" customFormat="1" ht="41.4" x14ac:dyDescent="0.3">
      <c r="A132" s="246" t="s">
        <v>96</v>
      </c>
      <c r="B132" s="246" t="s">
        <v>80</v>
      </c>
      <c r="C132" s="48" t="s">
        <v>47</v>
      </c>
      <c r="D132" s="135" t="s">
        <v>110</v>
      </c>
      <c r="E132" s="48" t="s">
        <v>98</v>
      </c>
      <c r="F132" s="48" t="s">
        <v>99</v>
      </c>
      <c r="G132" s="48" t="s">
        <v>22</v>
      </c>
      <c r="H132" s="48" t="s">
        <v>23</v>
      </c>
      <c r="I132" s="48" t="s">
        <v>100</v>
      </c>
      <c r="J132" s="145"/>
      <c r="K132" s="48"/>
      <c r="L132" s="124"/>
      <c r="M132" s="124"/>
    </row>
    <row r="133" spans="1:13" s="132" customFormat="1" ht="12" customHeight="1" x14ac:dyDescent="0.3">
      <c r="A133" s="148"/>
      <c r="B133" s="71" t="str">
        <f>IF(A133="","",VLOOKUP(A133,'Database Lab+Equip'!$F:$I,2,FALSE))</f>
        <v/>
      </c>
      <c r="C133" s="139"/>
      <c r="D133" s="271"/>
      <c r="E133" s="140">
        <f>IF(A133="",0,VLOOKUP(A133,'Database Lab+Equip'!$F:$I,3,FALSE))</f>
        <v>0</v>
      </c>
      <c r="F133" s="140">
        <f>IF(A133="",0,VLOOKUP(A133,'Database Lab+Equip'!$F:$I,4,FALSE))</f>
        <v>0</v>
      </c>
      <c r="G133" s="140">
        <f>IF(A133="",0,C133*D133*E133*E$121)</f>
        <v>0</v>
      </c>
      <c r="H133" s="140">
        <f>IF(A133="",0,C133*D133*F133*E$121)</f>
        <v>0</v>
      </c>
      <c r="I133" s="140">
        <f>(H133*$M$122)+H133</f>
        <v>0</v>
      </c>
      <c r="J133" s="84"/>
      <c r="K133" s="29"/>
      <c r="L133" s="122"/>
      <c r="M133" s="84"/>
    </row>
    <row r="134" spans="1:13" s="132" customFormat="1" ht="12" customHeight="1" x14ac:dyDescent="0.3">
      <c r="A134" s="148" t="s">
        <v>121</v>
      </c>
      <c r="B134" s="71" t="str">
        <f>IF(A134="","",VLOOKUP(A134,'Database Lab+Equip'!$F:$I,2,FALSE))</f>
        <v xml:space="preserve">35t Excavator </v>
      </c>
      <c r="C134" s="142">
        <v>1</v>
      </c>
      <c r="D134" s="272">
        <v>1</v>
      </c>
      <c r="E134" s="140">
        <f>IF(A134="",0,VLOOKUP(A134,'Database Lab+Equip'!$F:$I,3,FALSE))</f>
        <v>730</v>
      </c>
      <c r="F134" s="140">
        <f>IF(A134="",0,VLOOKUP(A134,'Database Lab+Equip'!$F:$I,4,FALSE))</f>
        <v>1021.9999999999999</v>
      </c>
      <c r="G134" s="140">
        <f t="shared" ref="G134:G140" si="12">IF(A134="",0,C134*D134*E134*E$121)</f>
        <v>11680</v>
      </c>
      <c r="H134" s="140">
        <f t="shared" ref="H134:H140" si="13">IF(A134="",0,C134*D134*F134*E$121)</f>
        <v>16351.999999999998</v>
      </c>
      <c r="I134" s="140">
        <f t="shared" ref="I134:I140" si="14">(H134*$M$122)+H134</f>
        <v>17169.599999999999</v>
      </c>
      <c r="J134" s="122"/>
      <c r="K134" s="29"/>
      <c r="L134" s="122"/>
      <c r="M134" s="122"/>
    </row>
    <row r="135" spans="1:13" s="132" customFormat="1" ht="12" customHeight="1" x14ac:dyDescent="0.3">
      <c r="A135" s="314" t="s">
        <v>120</v>
      </c>
      <c r="B135" s="71" t="str">
        <f>IF(A135="","",VLOOKUP(A135,'Database Lab+Equip'!$F:$I,2,FALSE))</f>
        <v>WA320</v>
      </c>
      <c r="C135" s="313">
        <v>1</v>
      </c>
      <c r="D135" s="322">
        <v>1</v>
      </c>
      <c r="E135" s="140">
        <f>IF(A135="",0,VLOOKUP(A135,'Database Lab+Equip'!$F:$I,3,FALSE))</f>
        <v>400</v>
      </c>
      <c r="F135" s="140">
        <f>IF(A135="",0,VLOOKUP(A135,'Database Lab+Equip'!$F:$I,4,FALSE))</f>
        <v>720</v>
      </c>
      <c r="G135" s="140">
        <f t="shared" si="12"/>
        <v>6400</v>
      </c>
      <c r="H135" s="140">
        <f t="shared" si="13"/>
        <v>11520</v>
      </c>
      <c r="I135" s="140">
        <f t="shared" si="14"/>
        <v>12096</v>
      </c>
      <c r="J135" s="84"/>
      <c r="K135" s="29"/>
      <c r="L135" s="122"/>
      <c r="M135" s="122"/>
    </row>
    <row r="136" spans="1:13" s="132" customFormat="1" ht="12" customHeight="1" x14ac:dyDescent="0.3">
      <c r="A136" s="314" t="s">
        <v>123</v>
      </c>
      <c r="B136" s="71" t="str">
        <f>IF(A136="","",VLOOKUP(A136,'Database Lab+Equip'!$F:$I,2,FALSE))</f>
        <v>plate compactor</v>
      </c>
      <c r="C136" s="313">
        <v>1</v>
      </c>
      <c r="D136" s="322">
        <v>1</v>
      </c>
      <c r="E136" s="140">
        <f>IF(A136="",0,VLOOKUP(A136,'Database Lab+Equip'!$F:$I,3,FALSE))</f>
        <v>150</v>
      </c>
      <c r="F136" s="140">
        <f>IF(A136="",0,VLOOKUP(A136,'Database Lab+Equip'!$F:$I,4,FALSE))</f>
        <v>270</v>
      </c>
      <c r="G136" s="140">
        <f t="shared" si="12"/>
        <v>2400</v>
      </c>
      <c r="H136" s="140">
        <f t="shared" si="13"/>
        <v>4320</v>
      </c>
      <c r="I136" s="140">
        <f t="shared" si="14"/>
        <v>4536</v>
      </c>
      <c r="J136" s="84"/>
      <c r="K136" s="29"/>
      <c r="L136" s="122"/>
      <c r="M136" s="122"/>
    </row>
    <row r="137" spans="1:13" s="132" customFormat="1" ht="12" customHeight="1" x14ac:dyDescent="0.3">
      <c r="A137" s="148"/>
      <c r="B137" s="71" t="str">
        <f>IF(A137="","",VLOOKUP(A137,'Database Lab+Equip'!$F:$I,2,FALSE))</f>
        <v/>
      </c>
      <c r="C137" s="142"/>
      <c r="D137" s="272"/>
      <c r="E137" s="140">
        <f>IF(A137="",0,VLOOKUP(A137,'Database Lab+Equip'!$F:$I,3,FALSE))</f>
        <v>0</v>
      </c>
      <c r="F137" s="140">
        <f>IF(A137="",0,VLOOKUP(A137,'Database Lab+Equip'!$F:$I,4,FALSE))</f>
        <v>0</v>
      </c>
      <c r="G137" s="140">
        <f t="shared" si="12"/>
        <v>0</v>
      </c>
      <c r="H137" s="140">
        <f t="shared" si="13"/>
        <v>0</v>
      </c>
      <c r="I137" s="140">
        <f t="shared" si="14"/>
        <v>0</v>
      </c>
      <c r="J137" s="84"/>
      <c r="K137" s="29"/>
      <c r="L137" s="122"/>
      <c r="M137" s="122"/>
    </row>
    <row r="138" spans="1:13" s="132" customFormat="1" ht="12" customHeight="1" x14ac:dyDescent="0.3">
      <c r="A138" s="148"/>
      <c r="B138" s="71" t="str">
        <f>IF(A138="","",VLOOKUP(A138,'Database Lab+Equip'!$F:$I,2,FALSE))</f>
        <v/>
      </c>
      <c r="C138" s="142"/>
      <c r="D138" s="272"/>
      <c r="E138" s="140">
        <f>IF(A138="",0,VLOOKUP(A138,'Database Lab+Equip'!$F:$I,3,FALSE))</f>
        <v>0</v>
      </c>
      <c r="F138" s="140">
        <f>IF(A138="",0,VLOOKUP(A138,'Database Lab+Equip'!$F:$I,4,FALSE))</f>
        <v>0</v>
      </c>
      <c r="G138" s="140">
        <f t="shared" si="12"/>
        <v>0</v>
      </c>
      <c r="H138" s="140">
        <f t="shared" si="13"/>
        <v>0</v>
      </c>
      <c r="I138" s="140">
        <f t="shared" si="14"/>
        <v>0</v>
      </c>
      <c r="J138" s="84"/>
      <c r="K138" s="29"/>
      <c r="L138" s="122"/>
      <c r="M138" s="122"/>
    </row>
    <row r="139" spans="1:13" s="132" customFormat="1" ht="12" customHeight="1" x14ac:dyDescent="0.3">
      <c r="A139" s="148"/>
      <c r="B139" s="71" t="str">
        <f>IF(A139="","",VLOOKUP(A139,'Database Lab+Equip'!$F:$I,2,FALSE))</f>
        <v/>
      </c>
      <c r="C139" s="150"/>
      <c r="D139" s="273"/>
      <c r="E139" s="140">
        <f>IF(A139="",0,VLOOKUP(A139,'Database Lab+Equip'!$F:$I,3,FALSE))</f>
        <v>0</v>
      </c>
      <c r="F139" s="140">
        <f>IF(A139="",0,VLOOKUP(A139,'Database Lab+Equip'!$F:$I,4,FALSE))</f>
        <v>0</v>
      </c>
      <c r="G139" s="140">
        <f t="shared" si="12"/>
        <v>0</v>
      </c>
      <c r="H139" s="140">
        <f t="shared" si="13"/>
        <v>0</v>
      </c>
      <c r="I139" s="140">
        <f t="shared" si="14"/>
        <v>0</v>
      </c>
      <c r="J139" s="84"/>
      <c r="K139" s="29"/>
      <c r="L139" s="122"/>
      <c r="M139" s="122"/>
    </row>
    <row r="140" spans="1:13" s="132" customFormat="1" ht="12" customHeight="1" x14ac:dyDescent="0.3">
      <c r="A140" s="148"/>
      <c r="B140" s="71" t="str">
        <f>IF(A140="","",VLOOKUP(A140,'Database Lab+Equip'!$F:$I,2,FALSE))</f>
        <v/>
      </c>
      <c r="C140" s="150"/>
      <c r="D140" s="273"/>
      <c r="E140" s="140">
        <f>IF(A140="",0,VLOOKUP(A140,'Database Lab+Equip'!$F:$I,3,FALSE))</f>
        <v>0</v>
      </c>
      <c r="F140" s="140">
        <f>IF(A140="",0,VLOOKUP(A140,'Database Lab+Equip'!$F:$I,4,FALSE))</f>
        <v>0</v>
      </c>
      <c r="G140" s="140">
        <f t="shared" si="12"/>
        <v>0</v>
      </c>
      <c r="H140" s="140">
        <f t="shared" si="13"/>
        <v>0</v>
      </c>
      <c r="I140" s="140">
        <f t="shared" si="14"/>
        <v>0</v>
      </c>
      <c r="J140" s="152" t="s">
        <v>108</v>
      </c>
      <c r="K140" s="153" t="s">
        <v>109</v>
      </c>
      <c r="L140" s="31"/>
      <c r="M140" s="125">
        <f>SUM(I133:I140)-SUM(G133:G140)</f>
        <v>13321.599999999999</v>
      </c>
    </row>
    <row r="141" spans="1:13" s="132" customFormat="1" ht="12" customHeight="1" x14ac:dyDescent="0.3">
      <c r="A141" s="72"/>
      <c r="B141" s="71"/>
      <c r="D141" s="265"/>
      <c r="E141" s="122"/>
      <c r="F141" s="122"/>
      <c r="G141" s="21">
        <f>SUM(G133:G140)</f>
        <v>20480</v>
      </c>
      <c r="H141" s="21">
        <f>SUM(H133:H140)</f>
        <v>32192</v>
      </c>
      <c r="I141" s="21">
        <f>SUM(I133:I140)</f>
        <v>33801.599999999999</v>
      </c>
      <c r="J141" s="21">
        <f>G141</f>
        <v>20480</v>
      </c>
      <c r="K141" s="34">
        <f>I141</f>
        <v>33801.599999999999</v>
      </c>
      <c r="L141" s="256">
        <f>IF(J141=0,0,(K141-J141)/J141)</f>
        <v>0.65046874999999993</v>
      </c>
      <c r="M141" s="187">
        <f>M129+M140</f>
        <v>37235.19999999999</v>
      </c>
    </row>
    <row r="142" spans="1:13" s="31" customFormat="1" ht="13.8" x14ac:dyDescent="0.3">
      <c r="A142" s="110"/>
      <c r="B142" s="257"/>
      <c r="C142" s="258"/>
      <c r="D142" s="274"/>
      <c r="E142" s="117"/>
      <c r="F142" s="117"/>
      <c r="G142" s="118"/>
      <c r="H142" s="110"/>
      <c r="I142" s="161"/>
      <c r="J142" s="162">
        <f>J130+J141</f>
        <v>71360</v>
      </c>
      <c r="K142" s="162">
        <f>K130+K141</f>
        <v>108595.19999999998</v>
      </c>
      <c r="L142" s="259">
        <f>IF(J142=0,0,(K142-J142)/K142)</f>
        <v>0.34288071664309278</v>
      </c>
      <c r="M142" s="173"/>
    </row>
    <row r="143" spans="1:13" s="31" customFormat="1" ht="13.8" x14ac:dyDescent="0.3">
      <c r="A143" s="112"/>
      <c r="B143" s="251"/>
      <c r="C143" s="252"/>
      <c r="D143" s="275"/>
      <c r="E143" s="215"/>
      <c r="F143" s="215"/>
      <c r="G143" s="216"/>
      <c r="H143" s="112"/>
      <c r="I143" s="217"/>
      <c r="J143" s="218"/>
      <c r="K143" s="218"/>
      <c r="L143" s="254"/>
      <c r="M143" s="213"/>
    </row>
    <row r="144" spans="1:13" ht="15.6" x14ac:dyDescent="0.3">
      <c r="B144" s="304" t="s">
        <v>155</v>
      </c>
      <c r="C144" s="239"/>
      <c r="D144" s="42"/>
      <c r="E144" s="239"/>
      <c r="F144" s="255"/>
      <c r="H144" s="132"/>
      <c r="I144" s="132"/>
      <c r="L144" s="93" t="s">
        <v>85</v>
      </c>
      <c r="M144" s="94"/>
    </row>
    <row r="145" spans="1:13" s="132" customFormat="1" ht="12" customHeight="1" x14ac:dyDescent="0.3">
      <c r="B145" s="59" t="s">
        <v>135</v>
      </c>
      <c r="C145" s="242"/>
      <c r="D145" s="266" t="s">
        <v>87</v>
      </c>
      <c r="E145" s="23"/>
      <c r="F145" s="133"/>
      <c r="H145" s="14"/>
      <c r="I145" s="14"/>
      <c r="J145" s="121"/>
      <c r="K145" s="121"/>
      <c r="L145" s="126" t="s">
        <v>88</v>
      </c>
      <c r="M145" s="243"/>
    </row>
    <row r="146" spans="1:13" s="132" customFormat="1" ht="12" customHeight="1" x14ac:dyDescent="0.3">
      <c r="B146" s="59" t="s">
        <v>141</v>
      </c>
      <c r="C146" s="25"/>
      <c r="D146" s="266" t="s">
        <v>89</v>
      </c>
      <c r="E146" s="23"/>
      <c r="J146" s="122"/>
      <c r="K146" s="121"/>
      <c r="L146" s="126" t="s">
        <v>90</v>
      </c>
      <c r="M146" s="243"/>
    </row>
    <row r="147" spans="1:13" s="132" customFormat="1" ht="12" customHeight="1" x14ac:dyDescent="0.3">
      <c r="B147" s="59" t="s">
        <v>142</v>
      </c>
      <c r="C147" s="27" t="str">
        <f>IF(C145="","",C145/E147+C146)</f>
        <v/>
      </c>
      <c r="D147" s="266" t="s">
        <v>91</v>
      </c>
      <c r="E147" s="23"/>
      <c r="I147" s="26"/>
      <c r="J147" s="29"/>
      <c r="K147" s="121"/>
      <c r="L147" s="126" t="s">
        <v>92</v>
      </c>
      <c r="M147" s="243"/>
    </row>
    <row r="148" spans="1:13" s="132" customFormat="1" ht="12" customHeight="1" x14ac:dyDescent="0.3">
      <c r="B148" s="59" t="s">
        <v>143</v>
      </c>
      <c r="C148" s="25"/>
      <c r="D148" s="266" t="s">
        <v>25</v>
      </c>
      <c r="E148" s="128"/>
      <c r="I148" s="26"/>
      <c r="J148" s="29"/>
      <c r="K148" s="121"/>
      <c r="L148" s="93" t="s">
        <v>94</v>
      </c>
      <c r="M148" s="94"/>
    </row>
    <row r="149" spans="1:13" s="132" customFormat="1" ht="12" customHeight="1" x14ac:dyDescent="0.3">
      <c r="B149" s="59" t="s">
        <v>144</v>
      </c>
      <c r="C149" s="25"/>
      <c r="D149" s="266" t="s">
        <v>44</v>
      </c>
      <c r="E149" s="244">
        <v>12</v>
      </c>
      <c r="F149" s="132" t="s">
        <v>156</v>
      </c>
      <c r="I149" s="26"/>
      <c r="J149" s="29"/>
      <c r="K149" s="121"/>
      <c r="L149" s="57" t="s">
        <v>70</v>
      </c>
      <c r="M149" s="58">
        <v>0.05</v>
      </c>
    </row>
    <row r="150" spans="1:13" s="132" customFormat="1" ht="12" customHeight="1" x14ac:dyDescent="0.3">
      <c r="B150" s="28"/>
      <c r="C150" s="122"/>
      <c r="D150" s="267"/>
      <c r="E150" s="211"/>
      <c r="I150" s="26"/>
      <c r="J150" s="29"/>
      <c r="K150" s="121"/>
      <c r="L150" s="57" t="s">
        <v>80</v>
      </c>
      <c r="M150" s="58">
        <v>0.05</v>
      </c>
    </row>
    <row r="151" spans="1:13" s="132" customFormat="1" ht="12" customHeight="1" x14ac:dyDescent="0.3">
      <c r="B151" s="28"/>
      <c r="C151" s="28"/>
      <c r="D151" s="43"/>
      <c r="H151" s="29"/>
      <c r="I151" s="29"/>
      <c r="J151" s="29"/>
      <c r="K151" s="29"/>
      <c r="L151" s="122"/>
      <c r="M151" s="122"/>
    </row>
    <row r="152" spans="1:13" s="132" customFormat="1" ht="27.6" x14ac:dyDescent="0.3">
      <c r="A152" s="246" t="s">
        <v>145</v>
      </c>
      <c r="B152" s="246" t="s">
        <v>70</v>
      </c>
      <c r="C152" s="48" t="s">
        <v>47</v>
      </c>
      <c r="D152" s="135" t="s">
        <v>97</v>
      </c>
      <c r="E152" s="48" t="s">
        <v>98</v>
      </c>
      <c r="F152" s="48" t="s">
        <v>99</v>
      </c>
      <c r="G152" s="48" t="s">
        <v>22</v>
      </c>
      <c r="H152" s="48" t="s">
        <v>23</v>
      </c>
      <c r="I152" s="48" t="s">
        <v>100</v>
      </c>
      <c r="J152" s="124"/>
      <c r="K152" s="48"/>
      <c r="L152" s="48" t="s">
        <v>101</v>
      </c>
      <c r="M152" s="48" t="s">
        <v>0</v>
      </c>
    </row>
    <row r="153" spans="1:13" s="132" customFormat="1" ht="12" customHeight="1" x14ac:dyDescent="0.3">
      <c r="A153" s="137" t="s">
        <v>103</v>
      </c>
      <c r="B153" s="71" t="str">
        <f>IF(A153="","",VLOOKUP(A153,'Database Lab+Equip'!$A:$D,2,FALSE))</f>
        <v>Polywelder</v>
      </c>
      <c r="C153" s="142">
        <v>1</v>
      </c>
      <c r="D153" s="269">
        <v>12</v>
      </c>
      <c r="E153" s="140">
        <f>IF(A153="",0,VLOOKUP(A153,'Database Lab+Equip'!$A:$D,3,FALSE))</f>
        <v>90</v>
      </c>
      <c r="F153" s="140">
        <f>IF(A153="",0,VLOOKUP(A153,'Database Lab+Equip'!$A:$D,4,FALSE))</f>
        <v>125.99999999999999</v>
      </c>
      <c r="G153" s="140">
        <f>IF(A153="",0,C153*D153*E153*E$149)</f>
        <v>12960</v>
      </c>
      <c r="H153" s="140">
        <f>IF(A153="",0,C153*D153*F153*E$149)</f>
        <v>18143.999999999996</v>
      </c>
      <c r="I153" s="140">
        <f>(H153*$M$149)+H153</f>
        <v>19051.199999999997</v>
      </c>
      <c r="J153" s="84"/>
      <c r="K153" s="29"/>
      <c r="L153" s="122"/>
      <c r="M153" s="84" t="s">
        <v>157</v>
      </c>
    </row>
    <row r="154" spans="1:13" s="132" customFormat="1" ht="12" customHeight="1" x14ac:dyDescent="0.3">
      <c r="A154" s="137" t="s">
        <v>105</v>
      </c>
      <c r="B154" s="71" t="str">
        <f>IF(A154="","",VLOOKUP(A154,'Database Lab+Equip'!$A:$D,2,FALSE))</f>
        <v>Operator</v>
      </c>
      <c r="C154" s="142">
        <v>1</v>
      </c>
      <c r="D154" s="269">
        <v>12</v>
      </c>
      <c r="E154" s="140">
        <f>IF(A154="",0,VLOOKUP(A154,'Database Lab+Equip'!$A:$D,3,FALSE))</f>
        <v>90</v>
      </c>
      <c r="F154" s="140">
        <f>IF(A154="",0,VLOOKUP(A154,'Database Lab+Equip'!$A:$D,4,FALSE))</f>
        <v>125.99999999999999</v>
      </c>
      <c r="G154" s="140">
        <f>IF(A154="",0,C154*D154*E154*E$149)</f>
        <v>12960</v>
      </c>
      <c r="H154" s="140">
        <f>IF(A154="",0,C154*D154*F154*E$149)</f>
        <v>18143.999999999996</v>
      </c>
      <c r="I154" s="140">
        <f>(H154*$M$149)+H154</f>
        <v>19051.199999999997</v>
      </c>
      <c r="J154" s="84"/>
      <c r="K154" s="29"/>
      <c r="L154" s="122"/>
      <c r="M154" s="122"/>
    </row>
    <row r="155" spans="1:13" s="132" customFormat="1" ht="12" customHeight="1" x14ac:dyDescent="0.3">
      <c r="A155" s="137"/>
      <c r="B155" s="71" t="str">
        <f>IF(A155="","",VLOOKUP(A155,'Database Lab+Equip'!$A:$D,2,FALSE))</f>
        <v/>
      </c>
      <c r="C155" s="142"/>
      <c r="D155" s="269"/>
      <c r="E155" s="140">
        <f>IF(A155="",0,VLOOKUP(A155,'Database Lab+Equip'!$A:$D,3,FALSE))</f>
        <v>0</v>
      </c>
      <c r="F155" s="140">
        <f>IF(A155="",0,VLOOKUP(A155,'Database Lab+Equip'!$A:$D,4,FALSE))</f>
        <v>0</v>
      </c>
      <c r="G155" s="140">
        <f>IF(A155="",0,C155*D155*E155*E$149)</f>
        <v>0</v>
      </c>
      <c r="H155" s="140">
        <f>IF(A155="",0,C155*D155*F155*E$149)</f>
        <v>0</v>
      </c>
      <c r="I155" s="140">
        <f>(H155*$M$149)+H155</f>
        <v>0</v>
      </c>
      <c r="J155" s="84"/>
      <c r="K155" s="29"/>
      <c r="L155" s="122"/>
      <c r="M155" s="122"/>
    </row>
    <row r="156" spans="1:13" s="132" customFormat="1" ht="12" customHeight="1" x14ac:dyDescent="0.3">
      <c r="A156" s="137"/>
      <c r="B156" s="71" t="str">
        <f>IF(A156="","",VLOOKUP(A156,'Database Lab+Equip'!$A:$D,2,FALSE))</f>
        <v/>
      </c>
      <c r="C156" s="142"/>
      <c r="D156" s="269"/>
      <c r="E156" s="140">
        <f>IF(A156="",0,VLOOKUP(A156,'Database Lab+Equip'!$A:$D,3,FALSE))</f>
        <v>0</v>
      </c>
      <c r="F156" s="140">
        <f>IF(A156="",0,VLOOKUP(A156,'Database Lab+Equip'!$A:$D,4,FALSE))</f>
        <v>0</v>
      </c>
      <c r="G156" s="140">
        <f>IF(A156="",0,C156*D156*E156*E$149)</f>
        <v>0</v>
      </c>
      <c r="H156" s="140">
        <f>IF(A156="",0,C156*D156*F156*E$149)</f>
        <v>0</v>
      </c>
      <c r="I156" s="140">
        <f>(H156*$M$149)+H156</f>
        <v>0</v>
      </c>
      <c r="J156" s="84"/>
      <c r="K156" s="29"/>
      <c r="L156" s="122"/>
      <c r="M156" s="122"/>
    </row>
    <row r="157" spans="1:13" s="132" customFormat="1" ht="12" customHeight="1" x14ac:dyDescent="0.3">
      <c r="A157" s="137"/>
      <c r="B157" s="71" t="str">
        <f>IF(A157="","",VLOOKUP(A157,'Database Lab+Equip'!$A:$D,2,FALSE))</f>
        <v/>
      </c>
      <c r="C157" s="142"/>
      <c r="D157" s="269"/>
      <c r="E157" s="140">
        <f>IF(A157="",0,VLOOKUP(A157,'Database Lab+Equip'!$A:$D,3,FALSE))</f>
        <v>0</v>
      </c>
      <c r="F157" s="140">
        <f>IF(A157="",0,VLOOKUP(A157,'Database Lab+Equip'!$A:$D,4,FALSE))</f>
        <v>0</v>
      </c>
      <c r="G157" s="140">
        <f>IF(A157="",0,C157*D157*E157*E$149)</f>
        <v>0</v>
      </c>
      <c r="H157" s="140">
        <f>IF(A157="",0,C157*D157*F157*E$149)</f>
        <v>0</v>
      </c>
      <c r="I157" s="140">
        <f>(H157*$M$149)+H157</f>
        <v>0</v>
      </c>
      <c r="J157" s="152" t="s">
        <v>108</v>
      </c>
      <c r="K157" s="153" t="s">
        <v>109</v>
      </c>
      <c r="L157" s="31"/>
      <c r="M157" s="123">
        <f>SUM(I153:I157)-SUM(G153:G157)</f>
        <v>12182.399999999994</v>
      </c>
    </row>
    <row r="158" spans="1:13" s="132" customFormat="1" ht="12" customHeight="1" x14ac:dyDescent="0.3">
      <c r="A158" s="35"/>
      <c r="C158" s="140"/>
      <c r="D158" s="270"/>
      <c r="E158" s="140"/>
      <c r="F158" s="140"/>
      <c r="G158" s="21">
        <f>SUM(G153:G157)</f>
        <v>25920</v>
      </c>
      <c r="H158" s="21">
        <f>SUM(H153:H157)</f>
        <v>36287.999999999993</v>
      </c>
      <c r="I158" s="21">
        <f>SUM(I153:I157)</f>
        <v>38102.399999999994</v>
      </c>
      <c r="J158" s="21">
        <f>G158</f>
        <v>25920</v>
      </c>
      <c r="K158" s="34">
        <f>I158</f>
        <v>38102.399999999994</v>
      </c>
      <c r="L158" s="247">
        <f>IF(J158=0,0,(K158-J158)/J158)</f>
        <v>0.46999999999999975</v>
      </c>
      <c r="M158" s="122"/>
    </row>
    <row r="159" spans="1:13" s="132" customFormat="1" ht="12" customHeight="1" x14ac:dyDescent="0.3">
      <c r="A159" s="35"/>
      <c r="B159" s="71"/>
      <c r="C159" s="122"/>
      <c r="D159" s="265"/>
      <c r="E159" s="122"/>
      <c r="F159" s="122"/>
      <c r="G159" s="122"/>
      <c r="H159" s="122"/>
      <c r="I159" s="144"/>
      <c r="J159" s="84"/>
      <c r="K159" s="29"/>
      <c r="L159" s="122"/>
      <c r="M159" s="122"/>
    </row>
    <row r="160" spans="1:13" s="132" customFormat="1" ht="41.4" x14ac:dyDescent="0.3">
      <c r="A160" s="246" t="s">
        <v>96</v>
      </c>
      <c r="B160" s="246" t="s">
        <v>80</v>
      </c>
      <c r="C160" s="48" t="s">
        <v>47</v>
      </c>
      <c r="D160" s="135" t="s">
        <v>110</v>
      </c>
      <c r="E160" s="48" t="s">
        <v>98</v>
      </c>
      <c r="F160" s="48" t="s">
        <v>99</v>
      </c>
      <c r="G160" s="48" t="s">
        <v>22</v>
      </c>
      <c r="H160" s="48" t="s">
        <v>23</v>
      </c>
      <c r="I160" s="48" t="s">
        <v>100</v>
      </c>
      <c r="J160" s="145"/>
      <c r="K160" s="48"/>
      <c r="L160" s="124"/>
      <c r="M160" s="124"/>
    </row>
    <row r="161" spans="1:13" s="132" customFormat="1" ht="12" customHeight="1" x14ac:dyDescent="0.3">
      <c r="A161" s="148" t="s">
        <v>120</v>
      </c>
      <c r="B161" s="71" t="str">
        <f>IF(A161="","",VLOOKUP(A161,'Database Lab+Equip'!$F:$I,2,FALSE))</f>
        <v>WA320</v>
      </c>
      <c r="C161" s="139">
        <v>1</v>
      </c>
      <c r="D161" s="271">
        <v>1</v>
      </c>
      <c r="E161" s="140">
        <f>IF(A161="",0,VLOOKUP(A161,'Database Lab+Equip'!$F:$I,3,FALSE))</f>
        <v>400</v>
      </c>
      <c r="F161" s="140">
        <f>IF(A161="",0,VLOOKUP(A161,'Database Lab+Equip'!$F:$I,4,FALSE))</f>
        <v>720</v>
      </c>
      <c r="G161" s="140">
        <f>IF(A161="",0,C161*D161*E161*E$149)</f>
        <v>4800</v>
      </c>
      <c r="H161" s="140">
        <f>IF(A161="",0,C161*D161*F161*E$149)</f>
        <v>8640</v>
      </c>
      <c r="I161" s="140">
        <f>(H161*$M$150)+H161</f>
        <v>9072</v>
      </c>
      <c r="J161" s="84"/>
      <c r="K161" s="29"/>
      <c r="L161" s="122"/>
      <c r="M161" s="84"/>
    </row>
    <row r="162" spans="1:13" s="132" customFormat="1" ht="12" customHeight="1" x14ac:dyDescent="0.3">
      <c r="A162" s="148" t="s">
        <v>117</v>
      </c>
      <c r="B162" s="71" t="str">
        <f>IF(A162="","",VLOOKUP(A162,'Database Lab+Equip'!$F:$I,2,FALSE))</f>
        <v>Stihl MS-390 Chainsaw</v>
      </c>
      <c r="C162" s="142">
        <v>1</v>
      </c>
      <c r="D162" s="272">
        <v>1</v>
      </c>
      <c r="E162" s="140">
        <f>IF(A162="",0,VLOOKUP(A162,'Database Lab+Equip'!$F:$I,3,FALSE))</f>
        <v>30</v>
      </c>
      <c r="F162" s="140">
        <f>IF(A162="",0,VLOOKUP(A162,'Database Lab+Equip'!$F:$I,4,FALSE))</f>
        <v>54</v>
      </c>
      <c r="G162" s="140">
        <f t="shared" ref="G162:G168" si="15">IF(A162="",0,C162*D162*E162*E$149)</f>
        <v>360</v>
      </c>
      <c r="H162" s="140">
        <f t="shared" ref="H162:H168" si="16">IF(A162="",0,C162*D162*F162*E$149)</f>
        <v>648</v>
      </c>
      <c r="I162" s="140">
        <f t="shared" ref="I162:I168" si="17">(H162*$M$150)+H162</f>
        <v>680.4</v>
      </c>
      <c r="J162" s="122"/>
      <c r="K162" s="29"/>
      <c r="L162" s="122"/>
      <c r="M162" s="122"/>
    </row>
    <row r="163" spans="1:13" s="132" customFormat="1" ht="12" customHeight="1" x14ac:dyDescent="0.3">
      <c r="A163" s="148" t="s">
        <v>115</v>
      </c>
      <c r="B163" s="71" t="str">
        <f>IF(A163="","",VLOOKUP(A163,'Database Lab+Equip'!$F:$I,2,FALSE))</f>
        <v>TracStar 900 Polywelding Machine c/w dies</v>
      </c>
      <c r="C163" s="142">
        <v>1</v>
      </c>
      <c r="D163" s="322">
        <v>1</v>
      </c>
      <c r="E163" s="140">
        <f>IF(A163="",0,VLOOKUP(A163,'Database Lab+Equip'!$F:$I,3,FALSE))</f>
        <v>700</v>
      </c>
      <c r="F163" s="140">
        <f>IF(A163="",0,VLOOKUP(A163,'Database Lab+Equip'!$F:$I,4,FALSE))</f>
        <v>979.99999999999989</v>
      </c>
      <c r="G163" s="140">
        <f t="shared" si="15"/>
        <v>8400</v>
      </c>
      <c r="H163" s="140">
        <f t="shared" si="16"/>
        <v>11759.999999999998</v>
      </c>
      <c r="I163" s="140">
        <f t="shared" si="17"/>
        <v>12347.999999999998</v>
      </c>
      <c r="J163" s="84"/>
      <c r="K163" s="29"/>
      <c r="L163" s="122"/>
      <c r="M163" s="122"/>
    </row>
    <row r="164" spans="1:13" s="132" customFormat="1" ht="12" customHeight="1" x14ac:dyDescent="0.3">
      <c r="A164" s="148" t="s">
        <v>116</v>
      </c>
      <c r="B164" s="71" t="str">
        <f>IF(A164="","",VLOOKUP(A164,'Database Lab+Equip'!$F:$I,2,FALSE))</f>
        <v>Hand tools</v>
      </c>
      <c r="C164" s="142">
        <v>1</v>
      </c>
      <c r="D164" s="322">
        <v>1</v>
      </c>
      <c r="E164" s="140">
        <f>IF(A164="",0,VLOOKUP(A164,'Database Lab+Equip'!$F:$I,3,FALSE))</f>
        <v>85</v>
      </c>
      <c r="F164" s="140">
        <f>IF(A164="",0,VLOOKUP(A164,'Database Lab+Equip'!$F:$I,4,FALSE))</f>
        <v>153</v>
      </c>
      <c r="G164" s="140">
        <f t="shared" si="15"/>
        <v>1020</v>
      </c>
      <c r="H164" s="140">
        <f t="shared" si="16"/>
        <v>1836</v>
      </c>
      <c r="I164" s="140">
        <f t="shared" si="17"/>
        <v>1927.8</v>
      </c>
      <c r="J164" s="84"/>
      <c r="K164" s="29"/>
      <c r="L164" s="122"/>
      <c r="M164" s="122"/>
    </row>
    <row r="165" spans="1:13" s="132" customFormat="1" ht="12" customHeight="1" x14ac:dyDescent="0.3">
      <c r="A165" s="148"/>
      <c r="B165" s="71" t="str">
        <f>IF(A165="","",VLOOKUP(A165,'Database Lab+Equip'!$F:$I,2,FALSE))</f>
        <v/>
      </c>
      <c r="C165" s="142"/>
      <c r="D165" s="272"/>
      <c r="E165" s="140">
        <f>IF(A165="",0,VLOOKUP(A165,'Database Lab+Equip'!$F:$I,3,FALSE))</f>
        <v>0</v>
      </c>
      <c r="F165" s="140">
        <f>IF(A165="",0,VLOOKUP(A165,'Database Lab+Equip'!$F:$I,4,FALSE))</f>
        <v>0</v>
      </c>
      <c r="G165" s="140">
        <f t="shared" si="15"/>
        <v>0</v>
      </c>
      <c r="H165" s="140">
        <f t="shared" si="16"/>
        <v>0</v>
      </c>
      <c r="I165" s="140">
        <f t="shared" si="17"/>
        <v>0</v>
      </c>
      <c r="J165" s="84"/>
      <c r="K165" s="29"/>
      <c r="L165" s="122"/>
      <c r="M165" s="122"/>
    </row>
    <row r="166" spans="1:13" s="132" customFormat="1" ht="12" customHeight="1" x14ac:dyDescent="0.3">
      <c r="A166" s="148"/>
      <c r="B166" s="71" t="str">
        <f>IF(A166="","",VLOOKUP(A166,'Database Lab+Equip'!$F:$I,2,FALSE))</f>
        <v/>
      </c>
      <c r="C166" s="142"/>
      <c r="D166" s="272"/>
      <c r="E166" s="140">
        <f>IF(A166="",0,VLOOKUP(A166,'Database Lab+Equip'!$F:$I,3,FALSE))</f>
        <v>0</v>
      </c>
      <c r="F166" s="140">
        <f>IF(A166="",0,VLOOKUP(A166,'Database Lab+Equip'!$F:$I,4,FALSE))</f>
        <v>0</v>
      </c>
      <c r="G166" s="140">
        <f t="shared" si="15"/>
        <v>0</v>
      </c>
      <c r="H166" s="140">
        <f t="shared" si="16"/>
        <v>0</v>
      </c>
      <c r="I166" s="140">
        <f t="shared" si="17"/>
        <v>0</v>
      </c>
      <c r="J166" s="84"/>
      <c r="K166" s="29"/>
      <c r="L166" s="122"/>
      <c r="M166" s="122"/>
    </row>
    <row r="167" spans="1:13" s="132" customFormat="1" ht="12" customHeight="1" x14ac:dyDescent="0.3">
      <c r="A167" s="148"/>
      <c r="B167" s="71" t="str">
        <f>IF(A167="","",VLOOKUP(A167,'Database Lab+Equip'!$F:$I,2,FALSE))</f>
        <v/>
      </c>
      <c r="C167" s="150"/>
      <c r="D167" s="273"/>
      <c r="E167" s="140">
        <f>IF(A167="",0,VLOOKUP(A167,'Database Lab+Equip'!$F:$I,3,FALSE))</f>
        <v>0</v>
      </c>
      <c r="F167" s="140">
        <f>IF(A167="",0,VLOOKUP(A167,'Database Lab+Equip'!$F:$I,4,FALSE))</f>
        <v>0</v>
      </c>
      <c r="G167" s="140">
        <f t="shared" si="15"/>
        <v>0</v>
      </c>
      <c r="H167" s="140">
        <f t="shared" si="16"/>
        <v>0</v>
      </c>
      <c r="I167" s="140">
        <f t="shared" si="17"/>
        <v>0</v>
      </c>
      <c r="J167" s="84"/>
      <c r="K167" s="29"/>
      <c r="L167" s="122"/>
      <c r="M167" s="122"/>
    </row>
    <row r="168" spans="1:13" s="132" customFormat="1" ht="12" customHeight="1" x14ac:dyDescent="0.3">
      <c r="A168" s="148"/>
      <c r="B168" s="71" t="str">
        <f>IF(A168="","",VLOOKUP(A168,'Database Lab+Equip'!$F:$I,2,FALSE))</f>
        <v/>
      </c>
      <c r="C168" s="150"/>
      <c r="D168" s="273"/>
      <c r="E168" s="140">
        <f>IF(A168="",0,VLOOKUP(A168,'Database Lab+Equip'!$F:$I,3,FALSE))</f>
        <v>0</v>
      </c>
      <c r="F168" s="140">
        <f>IF(A168="",0,VLOOKUP(A168,'Database Lab+Equip'!$F:$I,4,FALSE))</f>
        <v>0</v>
      </c>
      <c r="G168" s="140">
        <f t="shared" si="15"/>
        <v>0</v>
      </c>
      <c r="H168" s="140">
        <f t="shared" si="16"/>
        <v>0</v>
      </c>
      <c r="I168" s="140">
        <f t="shared" si="17"/>
        <v>0</v>
      </c>
      <c r="J168" s="152" t="s">
        <v>108</v>
      </c>
      <c r="K168" s="153" t="s">
        <v>109</v>
      </c>
      <c r="L168" s="31"/>
      <c r="M168" s="125">
        <f>SUM(I161:I168)-SUM(G161:G168)</f>
        <v>9448.1999999999971</v>
      </c>
    </row>
    <row r="169" spans="1:13" s="132" customFormat="1" ht="12" customHeight="1" x14ac:dyDescent="0.3">
      <c r="A169" s="72"/>
      <c r="B169" s="71"/>
      <c r="D169" s="265"/>
      <c r="E169" s="122"/>
      <c r="F169" s="122"/>
      <c r="G169" s="21">
        <f>SUM(G161:G168)</f>
        <v>14580</v>
      </c>
      <c r="H169" s="21">
        <f>SUM(H161:H168)</f>
        <v>22884</v>
      </c>
      <c r="I169" s="21">
        <f>SUM(I161:I168)</f>
        <v>24028.199999999997</v>
      </c>
      <c r="J169" s="21">
        <f>G169</f>
        <v>14580</v>
      </c>
      <c r="K169" s="34">
        <f>I169</f>
        <v>24028.199999999997</v>
      </c>
      <c r="L169" s="256">
        <f>IF(J169=0,0,(K169-J169)/J169)</f>
        <v>0.64802469135802454</v>
      </c>
      <c r="M169" s="187">
        <f>M157+M168</f>
        <v>21630.599999999991</v>
      </c>
    </row>
    <row r="170" spans="1:13" s="31" customFormat="1" ht="13.8" x14ac:dyDescent="0.3">
      <c r="A170" s="110"/>
      <c r="B170" s="257"/>
      <c r="C170" s="258"/>
      <c r="D170" s="274"/>
      <c r="E170" s="117"/>
      <c r="F170" s="117"/>
      <c r="G170" s="118"/>
      <c r="H170" s="110"/>
      <c r="I170" s="161"/>
      <c r="J170" s="162">
        <f>J158+J169</f>
        <v>40500</v>
      </c>
      <c r="K170" s="162">
        <f>K158+K169</f>
        <v>62130.599999999991</v>
      </c>
      <c r="L170" s="259">
        <f>IF(J170=0,0,(K170-J170)/K170)</f>
        <v>0.34814728974128684</v>
      </c>
      <c r="M170" s="173"/>
    </row>
    <row r="171" spans="1:13" s="31" customFormat="1" ht="13.8" x14ac:dyDescent="0.3">
      <c r="A171" s="112"/>
      <c r="B171" s="251"/>
      <c r="C171" s="252"/>
      <c r="D171" s="275"/>
      <c r="E171" s="215"/>
      <c r="F171" s="215"/>
      <c r="G171" s="216"/>
      <c r="H171" s="112"/>
      <c r="I171" s="217"/>
      <c r="J171" s="218"/>
      <c r="K171" s="218"/>
      <c r="L171" s="254"/>
      <c r="M171" s="213"/>
    </row>
    <row r="172" spans="1:13" ht="15.6" x14ac:dyDescent="0.3">
      <c r="B172" s="241" t="s">
        <v>158</v>
      </c>
      <c r="C172" s="239"/>
      <c r="D172" s="42"/>
      <c r="E172" s="239"/>
      <c r="F172" s="255"/>
      <c r="H172" s="132"/>
      <c r="I172" s="132"/>
      <c r="L172" s="93" t="s">
        <v>85</v>
      </c>
      <c r="M172" s="94"/>
    </row>
    <row r="173" spans="1:13" s="132" customFormat="1" ht="12" customHeight="1" x14ac:dyDescent="0.3">
      <c r="B173" s="59" t="s">
        <v>135</v>
      </c>
      <c r="C173" s="242"/>
      <c r="D173" s="266" t="s">
        <v>87</v>
      </c>
      <c r="E173" s="23"/>
      <c r="F173" s="133"/>
      <c r="H173" s="14"/>
      <c r="I173" s="14"/>
      <c r="J173" s="121"/>
      <c r="K173" s="121"/>
      <c r="L173" s="126" t="s">
        <v>88</v>
      </c>
      <c r="M173" s="243"/>
    </row>
    <row r="174" spans="1:13" s="132" customFormat="1" ht="12" customHeight="1" x14ac:dyDescent="0.3">
      <c r="B174" s="59" t="s">
        <v>141</v>
      </c>
      <c r="C174" s="25"/>
      <c r="D174" s="266" t="s">
        <v>89</v>
      </c>
      <c r="E174" s="23"/>
      <c r="J174" s="122"/>
      <c r="K174" s="121"/>
      <c r="L174" s="126" t="s">
        <v>90</v>
      </c>
      <c r="M174" s="243"/>
    </row>
    <row r="175" spans="1:13" s="132" customFormat="1" ht="12" customHeight="1" x14ac:dyDescent="0.3">
      <c r="B175" s="59" t="s">
        <v>142</v>
      </c>
      <c r="C175" s="27" t="str">
        <f>IF(C173="","",C173/E175+C174)</f>
        <v/>
      </c>
      <c r="D175" s="266" t="s">
        <v>91</v>
      </c>
      <c r="E175" s="23"/>
      <c r="I175" s="26"/>
      <c r="J175" s="29"/>
      <c r="K175" s="121"/>
      <c r="L175" s="126" t="s">
        <v>92</v>
      </c>
      <c r="M175" s="243"/>
    </row>
    <row r="176" spans="1:13" s="132" customFormat="1" ht="12" customHeight="1" x14ac:dyDescent="0.3">
      <c r="B176" s="59" t="s">
        <v>143</v>
      </c>
      <c r="C176" s="25"/>
      <c r="D176" s="266" t="s">
        <v>25</v>
      </c>
      <c r="E176" s="128">
        <f>SUM(C181:C185)</f>
        <v>2</v>
      </c>
      <c r="I176" s="26"/>
      <c r="J176" s="29"/>
      <c r="K176" s="121"/>
      <c r="L176" s="93" t="s">
        <v>94</v>
      </c>
      <c r="M176" s="94"/>
    </row>
    <row r="177" spans="1:13" s="132" customFormat="1" ht="12" customHeight="1" x14ac:dyDescent="0.3">
      <c r="B177" s="59" t="s">
        <v>144</v>
      </c>
      <c r="C177" s="25">
        <v>10</v>
      </c>
      <c r="D177" s="266" t="s">
        <v>44</v>
      </c>
      <c r="E177" s="244">
        <v>1.5</v>
      </c>
      <c r="I177" s="26"/>
      <c r="J177" s="29"/>
      <c r="K177" s="121"/>
      <c r="L177" s="57" t="s">
        <v>70</v>
      </c>
      <c r="M177" s="58">
        <f>M9</f>
        <v>0.05</v>
      </c>
    </row>
    <row r="178" spans="1:13" s="132" customFormat="1" ht="12" customHeight="1" x14ac:dyDescent="0.3">
      <c r="B178" s="28"/>
      <c r="C178" s="122"/>
      <c r="D178" s="267"/>
      <c r="E178" s="211"/>
      <c r="I178" s="26"/>
      <c r="J178" s="29"/>
      <c r="K178" s="121"/>
      <c r="L178" s="57" t="s">
        <v>80</v>
      </c>
      <c r="M178" s="58">
        <f>M10</f>
        <v>0.05</v>
      </c>
    </row>
    <row r="179" spans="1:13" s="132" customFormat="1" ht="12" customHeight="1" x14ac:dyDescent="0.3">
      <c r="B179" s="28"/>
      <c r="C179" s="28"/>
      <c r="D179" s="43"/>
      <c r="H179" s="29"/>
      <c r="I179" s="29"/>
      <c r="J179" s="29"/>
      <c r="K179" s="29"/>
      <c r="L179" s="122"/>
      <c r="M179" s="122"/>
    </row>
    <row r="180" spans="1:13" s="132" customFormat="1" ht="27.6" x14ac:dyDescent="0.3">
      <c r="A180" s="246" t="s">
        <v>145</v>
      </c>
      <c r="B180" s="246" t="s">
        <v>70</v>
      </c>
      <c r="C180" s="48" t="s">
        <v>47</v>
      </c>
      <c r="D180" s="135" t="s">
        <v>97</v>
      </c>
      <c r="E180" s="48" t="s">
        <v>98</v>
      </c>
      <c r="F180" s="48" t="s">
        <v>99</v>
      </c>
      <c r="G180" s="48" t="s">
        <v>22</v>
      </c>
      <c r="H180" s="48" t="s">
        <v>23</v>
      </c>
      <c r="I180" s="48" t="s">
        <v>100</v>
      </c>
      <c r="J180" s="124"/>
      <c r="K180" s="48"/>
      <c r="L180" s="48" t="s">
        <v>101</v>
      </c>
      <c r="M180" s="48" t="s">
        <v>0</v>
      </c>
    </row>
    <row r="181" spans="1:13" s="132" customFormat="1" ht="12" customHeight="1" x14ac:dyDescent="0.3">
      <c r="A181" s="137" t="s">
        <v>103</v>
      </c>
      <c r="B181" s="71" t="str">
        <f>IF(A181="","",VLOOKUP(A181,'Database Lab+Equip'!$A:$D,2,FALSE))</f>
        <v>Polywelder</v>
      </c>
      <c r="C181" s="142">
        <v>1</v>
      </c>
      <c r="D181" s="269">
        <v>12</v>
      </c>
      <c r="E181" s="140">
        <f>IF(A181="",0,VLOOKUP(A181,'Database Lab+Equip'!$A:$D,3,FALSE))</f>
        <v>90</v>
      </c>
      <c r="F181" s="140">
        <f>IF(A181="",0,VLOOKUP(A181,'Database Lab+Equip'!$A:$D,4,FALSE))</f>
        <v>125.99999999999999</v>
      </c>
      <c r="G181" s="140">
        <f>IF(A181="",0,C181*D181*E181*E$177)</f>
        <v>1620</v>
      </c>
      <c r="H181" s="140">
        <f>IF(A181="",0,C181*D181*F181*E$177)</f>
        <v>2267.9999999999995</v>
      </c>
      <c r="I181" s="140">
        <f>(H181*$M$177)+H181</f>
        <v>2381.3999999999996</v>
      </c>
      <c r="J181" s="84"/>
      <c r="K181" s="29"/>
      <c r="L181" s="122"/>
      <c r="M181" s="84"/>
    </row>
    <row r="182" spans="1:13" s="132" customFormat="1" ht="12" customHeight="1" x14ac:dyDescent="0.3">
      <c r="A182" s="137" t="s">
        <v>105</v>
      </c>
      <c r="B182" s="71" t="str">
        <f>IF(A182="","",VLOOKUP(A182,'Database Lab+Equip'!$A:$D,2,FALSE))</f>
        <v>Operator</v>
      </c>
      <c r="C182" s="142">
        <v>1</v>
      </c>
      <c r="D182" s="269">
        <v>12</v>
      </c>
      <c r="E182" s="140">
        <f>IF(A182="",0,VLOOKUP(A182,'Database Lab+Equip'!$A:$D,3,FALSE))</f>
        <v>90</v>
      </c>
      <c r="F182" s="140">
        <f>IF(A182="",0,VLOOKUP(A182,'Database Lab+Equip'!$A:$D,4,FALSE))</f>
        <v>125.99999999999999</v>
      </c>
      <c r="G182" s="140">
        <f>IF(A182="",0,C182*D182*E182*E$177)</f>
        <v>1620</v>
      </c>
      <c r="H182" s="140">
        <f>IF(A182="",0,C182*D182*F182*E$177)</f>
        <v>2267.9999999999995</v>
      </c>
      <c r="I182" s="140">
        <f>(H182*$M$177)+H182</f>
        <v>2381.3999999999996</v>
      </c>
      <c r="J182" s="84"/>
      <c r="K182" s="29"/>
      <c r="L182" s="122"/>
      <c r="M182" s="122"/>
    </row>
    <row r="183" spans="1:13" s="132" customFormat="1" ht="12" customHeight="1" x14ac:dyDescent="0.3">
      <c r="A183" s="137"/>
      <c r="B183" s="71" t="str">
        <f>IF(A183="","",VLOOKUP(A183,'Database Lab+Equip'!$A:$D,2,FALSE))</f>
        <v/>
      </c>
      <c r="C183" s="142"/>
      <c r="D183" s="269"/>
      <c r="E183" s="140">
        <f>IF(A183="",0,VLOOKUP(A183,'Database Lab+Equip'!$A:$D,3,FALSE))</f>
        <v>0</v>
      </c>
      <c r="F183" s="140">
        <f>IF(A183="",0,VLOOKUP(A183,'Database Lab+Equip'!$A:$D,4,FALSE))</f>
        <v>0</v>
      </c>
      <c r="G183" s="140">
        <f>IF(A183="",0,C183*D183*E183*E$177)</f>
        <v>0</v>
      </c>
      <c r="H183" s="140">
        <f>IF(A183="",0,C183*D183*F183*E$177)</f>
        <v>0</v>
      </c>
      <c r="I183" s="140">
        <f>(H183*$M$177)+H183</f>
        <v>0</v>
      </c>
      <c r="J183" s="84"/>
      <c r="K183" s="29"/>
      <c r="L183" s="122"/>
      <c r="M183" s="122"/>
    </row>
    <row r="184" spans="1:13" s="132" customFormat="1" ht="12" customHeight="1" x14ac:dyDescent="0.3">
      <c r="A184" s="137"/>
      <c r="B184" s="71" t="str">
        <f>IF(A184="","",VLOOKUP(A184,'Database Lab+Equip'!$A:$D,2,FALSE))</f>
        <v/>
      </c>
      <c r="C184" s="142"/>
      <c r="D184" s="269"/>
      <c r="E184" s="140">
        <f>IF(A184="",0,VLOOKUP(A184,'Database Lab+Equip'!$A:$D,3,FALSE))</f>
        <v>0</v>
      </c>
      <c r="F184" s="140">
        <f>IF(A184="",0,VLOOKUP(A184,'Database Lab+Equip'!$A:$D,4,FALSE))</f>
        <v>0</v>
      </c>
      <c r="G184" s="140">
        <f>IF(A184="",0,C184*D184*E184*E$177)</f>
        <v>0</v>
      </c>
      <c r="H184" s="140">
        <f>IF(A184="",0,C184*D184*F184*E$177)</f>
        <v>0</v>
      </c>
      <c r="I184" s="140">
        <f>(H184*$M$177)+H184</f>
        <v>0</v>
      </c>
      <c r="J184" s="84"/>
      <c r="K184" s="29"/>
      <c r="L184" s="122"/>
      <c r="M184" s="122"/>
    </row>
    <row r="185" spans="1:13" s="132" customFormat="1" ht="12" customHeight="1" x14ac:dyDescent="0.3">
      <c r="A185" s="137"/>
      <c r="B185" s="71" t="str">
        <f>IF(A185="","",VLOOKUP(A185,'Database Lab+Equip'!$A:$D,2,FALSE))</f>
        <v/>
      </c>
      <c r="C185" s="142"/>
      <c r="D185" s="269"/>
      <c r="E185" s="140">
        <f>IF(A185="",0,VLOOKUP(A185,'Database Lab+Equip'!$A:$D,3,FALSE))</f>
        <v>0</v>
      </c>
      <c r="F185" s="140">
        <f>IF(A185="",0,VLOOKUP(A185,'Database Lab+Equip'!$A:$D,4,FALSE))</f>
        <v>0</v>
      </c>
      <c r="G185" s="140">
        <f>IF(A185="",0,C185*D185*E185*E$177)</f>
        <v>0</v>
      </c>
      <c r="H185" s="140">
        <f>IF(A185="",0,C185*D185*F185*E$177)</f>
        <v>0</v>
      </c>
      <c r="I185" s="140">
        <f>(H185*$M$177)+H185</f>
        <v>0</v>
      </c>
      <c r="J185" s="152" t="s">
        <v>108</v>
      </c>
      <c r="K185" s="153" t="s">
        <v>109</v>
      </c>
      <c r="L185" s="31"/>
      <c r="M185" s="123">
        <f>SUM(I181:I185)-SUM(G181:G185)</f>
        <v>1522.7999999999993</v>
      </c>
    </row>
    <row r="186" spans="1:13" s="132" customFormat="1" ht="12" customHeight="1" x14ac:dyDescent="0.3">
      <c r="A186" s="35"/>
      <c r="C186" s="140"/>
      <c r="D186" s="270"/>
      <c r="E186" s="140"/>
      <c r="F186" s="140"/>
      <c r="G186" s="21">
        <f>SUM(G181:G185)</f>
        <v>3240</v>
      </c>
      <c r="H186" s="21">
        <f>SUM(H181:H185)</f>
        <v>4535.9999999999991</v>
      </c>
      <c r="I186" s="21">
        <f>SUM(I181:I185)</f>
        <v>4762.7999999999993</v>
      </c>
      <c r="J186" s="21">
        <f>G186</f>
        <v>3240</v>
      </c>
      <c r="K186" s="34">
        <f>I186</f>
        <v>4762.7999999999993</v>
      </c>
      <c r="L186" s="247">
        <f>IF(J186=0,0,(K186-J186)/J186)</f>
        <v>0.46999999999999975</v>
      </c>
      <c r="M186" s="122"/>
    </row>
    <row r="187" spans="1:13" s="132" customFormat="1" ht="12" customHeight="1" x14ac:dyDescent="0.3">
      <c r="A187" s="35"/>
      <c r="B187" s="71"/>
      <c r="C187" s="122"/>
      <c r="D187" s="265"/>
      <c r="E187" s="122"/>
      <c r="F187" s="122"/>
      <c r="G187" s="122"/>
      <c r="H187" s="122"/>
      <c r="I187" s="144"/>
      <c r="J187" s="84"/>
      <c r="K187" s="29"/>
      <c r="L187" s="122"/>
      <c r="M187" s="122"/>
    </row>
    <row r="188" spans="1:13" s="132" customFormat="1" ht="41.4" x14ac:dyDescent="0.3">
      <c r="A188" s="246" t="s">
        <v>96</v>
      </c>
      <c r="B188" s="246" t="s">
        <v>80</v>
      </c>
      <c r="C188" s="48" t="s">
        <v>47</v>
      </c>
      <c r="D188" s="135" t="s">
        <v>110</v>
      </c>
      <c r="E188" s="48" t="s">
        <v>98</v>
      </c>
      <c r="F188" s="48" t="s">
        <v>99</v>
      </c>
      <c r="G188" s="48" t="s">
        <v>22</v>
      </c>
      <c r="H188" s="48" t="s">
        <v>23</v>
      </c>
      <c r="I188" s="48" t="s">
        <v>100</v>
      </c>
      <c r="J188" s="145"/>
      <c r="K188" s="48"/>
      <c r="L188" s="124"/>
      <c r="M188" s="124"/>
    </row>
    <row r="189" spans="1:13" s="132" customFormat="1" ht="12" customHeight="1" x14ac:dyDescent="0.3">
      <c r="A189" s="148" t="s">
        <v>120</v>
      </c>
      <c r="B189" s="71" t="str">
        <f>IF(A189="","",VLOOKUP(A189,'Database Lab+Equip'!$F:$I,2,FALSE))</f>
        <v>WA320</v>
      </c>
      <c r="C189" s="139">
        <v>1</v>
      </c>
      <c r="D189" s="271">
        <v>1</v>
      </c>
      <c r="E189" s="140">
        <f>IF(A189="",0,VLOOKUP(A189,'Database Lab+Equip'!$F:$I,3,FALSE))</f>
        <v>400</v>
      </c>
      <c r="F189" s="140">
        <f>IF(A189="",0,VLOOKUP(A189,'Database Lab+Equip'!$F:$I,4,FALSE))</f>
        <v>720</v>
      </c>
      <c r="G189" s="140">
        <f>IF(A189="",0,C189*D189*E189*E$177)</f>
        <v>600</v>
      </c>
      <c r="H189" s="140">
        <f>IF(A189="",0,C189*D189*F189*E$177)</f>
        <v>1080</v>
      </c>
      <c r="I189" s="140">
        <f>(H189*$M$178)+H189</f>
        <v>1134</v>
      </c>
      <c r="J189" s="84"/>
      <c r="K189" s="29"/>
      <c r="L189" s="122"/>
      <c r="M189" s="84"/>
    </row>
    <row r="190" spans="1:13" s="132" customFormat="1" ht="12" customHeight="1" x14ac:dyDescent="0.3">
      <c r="A190" s="148" t="s">
        <v>117</v>
      </c>
      <c r="B190" s="71" t="str">
        <f>IF(A190="","",VLOOKUP(A190,'Database Lab+Equip'!$F:$I,2,FALSE))</f>
        <v>Stihl MS-390 Chainsaw</v>
      </c>
      <c r="C190" s="142">
        <v>1</v>
      </c>
      <c r="D190" s="272">
        <v>1</v>
      </c>
      <c r="E190" s="140">
        <f>IF(A190="",0,VLOOKUP(A190,'Database Lab+Equip'!$F:$I,3,FALSE))</f>
        <v>30</v>
      </c>
      <c r="F190" s="140">
        <f>IF(A190="",0,VLOOKUP(A190,'Database Lab+Equip'!$F:$I,4,FALSE))</f>
        <v>54</v>
      </c>
      <c r="G190" s="140">
        <f t="shared" ref="G190:G196" si="18">IF(A190="",0,C190*D190*E190*E$177)</f>
        <v>45</v>
      </c>
      <c r="H190" s="140">
        <f t="shared" ref="H190:H196" si="19">IF(A190="",0,C190*D190*F190*E$177)</f>
        <v>81</v>
      </c>
      <c r="I190" s="140">
        <f t="shared" ref="I190:I196" si="20">(H190*$M$178)+H190</f>
        <v>85.05</v>
      </c>
      <c r="J190" s="122"/>
      <c r="K190" s="29"/>
      <c r="L190" s="122"/>
      <c r="M190" s="122"/>
    </row>
    <row r="191" spans="1:13" s="132" customFormat="1" ht="12" customHeight="1" x14ac:dyDescent="0.3">
      <c r="A191" s="148" t="s">
        <v>119</v>
      </c>
      <c r="B191" s="71" t="str">
        <f>IF(A191="","",VLOOKUP(A191,'Database Lab+Equip'!$F:$I,2,FALSE))</f>
        <v>HF350 Polywelding Machine c/w dies</v>
      </c>
      <c r="C191" s="142">
        <v>1</v>
      </c>
      <c r="D191" s="272">
        <v>1</v>
      </c>
      <c r="E191" s="140">
        <f>IF(A191="",0,VLOOKUP(A191,'Database Lab+Equip'!$F:$I,3,FALSE))</f>
        <v>110</v>
      </c>
      <c r="F191" s="140">
        <f>IF(A191="",0,VLOOKUP(A191,'Database Lab+Equip'!$F:$I,4,FALSE))</f>
        <v>198</v>
      </c>
      <c r="G191" s="140">
        <f t="shared" si="18"/>
        <v>165</v>
      </c>
      <c r="H191" s="140">
        <f t="shared" si="19"/>
        <v>297</v>
      </c>
      <c r="I191" s="140">
        <f t="shared" si="20"/>
        <v>311.85000000000002</v>
      </c>
      <c r="J191" s="84"/>
      <c r="K191" s="29"/>
      <c r="L191" s="122"/>
      <c r="M191" s="122"/>
    </row>
    <row r="192" spans="1:13" s="132" customFormat="1" ht="12" customHeight="1" x14ac:dyDescent="0.3">
      <c r="A192" s="148" t="s">
        <v>116</v>
      </c>
      <c r="B192" s="71" t="str">
        <f>IF(A192="","",VLOOKUP(A192,'Database Lab+Equip'!$F:$I,2,FALSE))</f>
        <v>Hand tools</v>
      </c>
      <c r="C192" s="142"/>
      <c r="D192" s="272">
        <v>1</v>
      </c>
      <c r="E192" s="140">
        <f>IF(A192="",0,VLOOKUP(A192,'Database Lab+Equip'!$F:$I,3,FALSE))</f>
        <v>85</v>
      </c>
      <c r="F192" s="140">
        <f>IF(A192="",0,VLOOKUP(A192,'Database Lab+Equip'!$F:$I,4,FALSE))</f>
        <v>153</v>
      </c>
      <c r="G192" s="140">
        <f t="shared" si="18"/>
        <v>0</v>
      </c>
      <c r="H192" s="140">
        <f t="shared" si="19"/>
        <v>0</v>
      </c>
      <c r="I192" s="140">
        <f t="shared" si="20"/>
        <v>0</v>
      </c>
      <c r="J192" s="84"/>
      <c r="K192" s="29"/>
      <c r="L192" s="122"/>
      <c r="M192" s="122"/>
    </row>
    <row r="193" spans="1:13" s="132" customFormat="1" ht="12" customHeight="1" x14ac:dyDescent="0.3">
      <c r="A193" s="148"/>
      <c r="B193" s="71" t="str">
        <f>IF(A193="","",VLOOKUP(A193,'Database Lab+Equip'!$F:$I,2,FALSE))</f>
        <v/>
      </c>
      <c r="C193" s="142"/>
      <c r="D193" s="272"/>
      <c r="E193" s="140">
        <f>IF(A193="",0,VLOOKUP(A193,'Database Lab+Equip'!$F:$I,3,FALSE))</f>
        <v>0</v>
      </c>
      <c r="F193" s="140">
        <f>IF(A193="",0,VLOOKUP(A193,'Database Lab+Equip'!$F:$I,4,FALSE))</f>
        <v>0</v>
      </c>
      <c r="G193" s="140">
        <f t="shared" si="18"/>
        <v>0</v>
      </c>
      <c r="H193" s="140">
        <f t="shared" si="19"/>
        <v>0</v>
      </c>
      <c r="I193" s="140">
        <f t="shared" si="20"/>
        <v>0</v>
      </c>
      <c r="J193" s="84"/>
      <c r="K193" s="29"/>
      <c r="L193" s="122"/>
      <c r="M193" s="122"/>
    </row>
    <row r="194" spans="1:13" s="132" customFormat="1" ht="12" customHeight="1" x14ac:dyDescent="0.3">
      <c r="A194" s="148"/>
      <c r="B194" s="71" t="str">
        <f>IF(A194="","",VLOOKUP(A194,'Database Lab+Equip'!$F:$I,2,FALSE))</f>
        <v/>
      </c>
      <c r="C194" s="142"/>
      <c r="D194" s="272"/>
      <c r="E194" s="140">
        <f>IF(A194="",0,VLOOKUP(A194,'Database Lab+Equip'!$F:$I,3,FALSE))</f>
        <v>0</v>
      </c>
      <c r="F194" s="140">
        <f>IF(A194="",0,VLOOKUP(A194,'Database Lab+Equip'!$F:$I,4,FALSE))</f>
        <v>0</v>
      </c>
      <c r="G194" s="140">
        <f t="shared" si="18"/>
        <v>0</v>
      </c>
      <c r="H194" s="140">
        <f t="shared" si="19"/>
        <v>0</v>
      </c>
      <c r="I194" s="140">
        <f t="shared" si="20"/>
        <v>0</v>
      </c>
      <c r="J194" s="84"/>
      <c r="K194" s="29"/>
      <c r="L194" s="122"/>
      <c r="M194" s="122"/>
    </row>
    <row r="195" spans="1:13" s="132" customFormat="1" ht="12" customHeight="1" x14ac:dyDescent="0.3">
      <c r="A195" s="148"/>
      <c r="B195" s="71" t="str">
        <f>IF(A195="","",VLOOKUP(A195,'Database Lab+Equip'!$F:$I,2,FALSE))</f>
        <v/>
      </c>
      <c r="C195" s="150"/>
      <c r="D195" s="273"/>
      <c r="E195" s="140">
        <f>IF(A195="",0,VLOOKUP(A195,'Database Lab+Equip'!$F:$I,3,FALSE))</f>
        <v>0</v>
      </c>
      <c r="F195" s="140">
        <f>IF(A195="",0,VLOOKUP(A195,'Database Lab+Equip'!$F:$I,4,FALSE))</f>
        <v>0</v>
      </c>
      <c r="G195" s="140">
        <f t="shared" si="18"/>
        <v>0</v>
      </c>
      <c r="H195" s="140">
        <f t="shared" si="19"/>
        <v>0</v>
      </c>
      <c r="I195" s="140">
        <f t="shared" si="20"/>
        <v>0</v>
      </c>
      <c r="J195" s="84"/>
      <c r="K195" s="29"/>
      <c r="L195" s="122"/>
      <c r="M195" s="122"/>
    </row>
    <row r="196" spans="1:13" s="132" customFormat="1" ht="12" customHeight="1" x14ac:dyDescent="0.3">
      <c r="A196" s="148"/>
      <c r="B196" s="71" t="str">
        <f>IF(A196="","",VLOOKUP(A196,'Database Lab+Equip'!$F:$I,2,FALSE))</f>
        <v/>
      </c>
      <c r="C196" s="150"/>
      <c r="D196" s="273"/>
      <c r="E196" s="140">
        <f>IF(A196="",0,VLOOKUP(A196,'Database Lab+Equip'!$F:$I,3,FALSE))</f>
        <v>0</v>
      </c>
      <c r="F196" s="140">
        <f>IF(A196="",0,VLOOKUP(A196,'Database Lab+Equip'!$F:$I,4,FALSE))</f>
        <v>0</v>
      </c>
      <c r="G196" s="140">
        <f t="shared" si="18"/>
        <v>0</v>
      </c>
      <c r="H196" s="140">
        <f t="shared" si="19"/>
        <v>0</v>
      </c>
      <c r="I196" s="140">
        <f t="shared" si="20"/>
        <v>0</v>
      </c>
      <c r="J196" s="152" t="s">
        <v>108</v>
      </c>
      <c r="K196" s="153" t="s">
        <v>109</v>
      </c>
      <c r="L196" s="31"/>
      <c r="M196" s="125">
        <f>SUM(I189:I196)-SUM(G189:G196)</f>
        <v>720.90000000000009</v>
      </c>
    </row>
    <row r="197" spans="1:13" s="132" customFormat="1" ht="12" customHeight="1" x14ac:dyDescent="0.3">
      <c r="A197" s="72"/>
      <c r="B197" s="71"/>
      <c r="D197" s="265"/>
      <c r="E197" s="122"/>
      <c r="F197" s="122"/>
      <c r="G197" s="21">
        <f>SUM(G189:G196)</f>
        <v>810</v>
      </c>
      <c r="H197" s="21">
        <f>SUM(H189:H196)</f>
        <v>1458</v>
      </c>
      <c r="I197" s="21">
        <f>SUM(I189:I196)</f>
        <v>1530.9</v>
      </c>
      <c r="J197" s="21">
        <f>G197</f>
        <v>810</v>
      </c>
      <c r="K197" s="34">
        <f>I197</f>
        <v>1530.9</v>
      </c>
      <c r="L197" s="256">
        <f>IF(J197=0,0,(K197-J197)/J197)</f>
        <v>0.89000000000000012</v>
      </c>
      <c r="M197" s="187">
        <f>M185+M196</f>
        <v>2243.6999999999994</v>
      </c>
    </row>
    <row r="198" spans="1:13" s="31" customFormat="1" ht="13.8" x14ac:dyDescent="0.3">
      <c r="A198" s="110"/>
      <c r="B198" s="257"/>
      <c r="C198" s="258"/>
      <c r="D198" s="274"/>
      <c r="E198" s="117"/>
      <c r="F198" s="117"/>
      <c r="G198" s="118"/>
      <c r="H198" s="110"/>
      <c r="I198" s="161"/>
      <c r="J198" s="162">
        <f>J186+J197</f>
        <v>4050</v>
      </c>
      <c r="K198" s="162">
        <f>K186+K197</f>
        <v>6293.6999999999989</v>
      </c>
      <c r="L198" s="259">
        <f>IF(J198=0,0,(K198-J198)/K198)</f>
        <v>0.35649935649935638</v>
      </c>
      <c r="M198" s="173"/>
    </row>
    <row r="199" spans="1:13" s="31" customFormat="1" ht="13.8" x14ac:dyDescent="0.3">
      <c r="A199" s="112"/>
      <c r="B199" s="251"/>
      <c r="C199" s="252"/>
      <c r="D199" s="275"/>
      <c r="E199" s="215"/>
      <c r="F199" s="215"/>
      <c r="G199" s="216"/>
      <c r="H199" s="112"/>
      <c r="I199" s="217"/>
      <c r="J199" s="218"/>
      <c r="K199" s="218"/>
      <c r="L199" s="254"/>
      <c r="M199" s="213"/>
    </row>
    <row r="200" spans="1:13" ht="15.6" x14ac:dyDescent="0.3">
      <c r="B200" s="353" t="s">
        <v>159</v>
      </c>
      <c r="C200" s="239"/>
      <c r="D200" s="42"/>
      <c r="E200" s="239"/>
      <c r="F200" s="255"/>
      <c r="H200" s="132"/>
      <c r="I200" s="132"/>
      <c r="L200" s="93" t="s">
        <v>85</v>
      </c>
      <c r="M200" s="94"/>
    </row>
    <row r="201" spans="1:13" s="132" customFormat="1" ht="12" customHeight="1" x14ac:dyDescent="0.3">
      <c r="B201" s="59" t="s">
        <v>135</v>
      </c>
      <c r="C201" s="242"/>
      <c r="D201" s="266" t="s">
        <v>87</v>
      </c>
      <c r="E201" s="23"/>
      <c r="F201" s="133"/>
      <c r="H201" s="14"/>
      <c r="I201" s="14"/>
      <c r="J201" s="121"/>
      <c r="K201" s="121"/>
      <c r="L201" s="126" t="s">
        <v>88</v>
      </c>
      <c r="M201" s="243"/>
    </row>
    <row r="202" spans="1:13" s="132" customFormat="1" ht="12" customHeight="1" x14ac:dyDescent="0.3">
      <c r="B202" s="59" t="s">
        <v>141</v>
      </c>
      <c r="C202" s="25"/>
      <c r="D202" s="266" t="s">
        <v>89</v>
      </c>
      <c r="E202" s="23"/>
      <c r="J202" s="122"/>
      <c r="K202" s="121"/>
      <c r="L202" s="126" t="s">
        <v>90</v>
      </c>
      <c r="M202" s="243"/>
    </row>
    <row r="203" spans="1:13" s="132" customFormat="1" ht="12" customHeight="1" x14ac:dyDescent="0.3">
      <c r="B203" s="59" t="s">
        <v>142</v>
      </c>
      <c r="C203" s="27" t="str">
        <f>IF(C201="","",C201/E203+C202)</f>
        <v/>
      </c>
      <c r="D203" s="266" t="s">
        <v>91</v>
      </c>
      <c r="E203" s="23"/>
      <c r="I203" s="26"/>
      <c r="J203" s="29"/>
      <c r="K203" s="121"/>
      <c r="L203" s="126" t="s">
        <v>92</v>
      </c>
      <c r="M203" s="243"/>
    </row>
    <row r="204" spans="1:13" s="132" customFormat="1" ht="12" customHeight="1" x14ac:dyDescent="0.3">
      <c r="B204" s="59" t="s">
        <v>143</v>
      </c>
      <c r="C204" s="25"/>
      <c r="D204" s="266" t="s">
        <v>25</v>
      </c>
      <c r="E204" s="128">
        <f>SUM(C209:C213)</f>
        <v>2</v>
      </c>
      <c r="I204" s="26"/>
      <c r="J204" s="29"/>
      <c r="K204" s="121"/>
      <c r="L204" s="93" t="s">
        <v>94</v>
      </c>
      <c r="M204" s="94"/>
    </row>
    <row r="205" spans="1:13" s="132" customFormat="1" ht="12" customHeight="1" x14ac:dyDescent="0.3">
      <c r="B205" s="59" t="s">
        <v>144</v>
      </c>
      <c r="C205" s="25">
        <v>10</v>
      </c>
      <c r="D205" s="266" t="s">
        <v>44</v>
      </c>
      <c r="E205" s="244">
        <v>10</v>
      </c>
      <c r="I205" s="26"/>
      <c r="J205" s="29"/>
      <c r="K205" s="121"/>
      <c r="L205" s="57" t="s">
        <v>70</v>
      </c>
      <c r="M205" s="58">
        <f>M9</f>
        <v>0.05</v>
      </c>
    </row>
    <row r="206" spans="1:13" s="132" customFormat="1" ht="12" customHeight="1" x14ac:dyDescent="0.3">
      <c r="B206" s="28"/>
      <c r="C206" s="122"/>
      <c r="D206" s="267"/>
      <c r="E206" s="211"/>
      <c r="I206" s="26"/>
      <c r="J206" s="29"/>
      <c r="K206" s="121"/>
      <c r="L206" s="57" t="s">
        <v>80</v>
      </c>
      <c r="M206" s="58">
        <f>M10</f>
        <v>0.05</v>
      </c>
    </row>
    <row r="207" spans="1:13" s="132" customFormat="1" ht="12" customHeight="1" x14ac:dyDescent="0.3">
      <c r="B207" s="28"/>
      <c r="C207" s="28"/>
      <c r="D207" s="43"/>
      <c r="H207" s="29"/>
      <c r="I207" s="29"/>
      <c r="J207" s="29"/>
      <c r="K207" s="29"/>
      <c r="L207" s="122"/>
      <c r="M207" s="122"/>
    </row>
    <row r="208" spans="1:13" s="132" customFormat="1" ht="27.6" x14ac:dyDescent="0.3">
      <c r="A208" s="246" t="s">
        <v>145</v>
      </c>
      <c r="B208" s="246" t="s">
        <v>70</v>
      </c>
      <c r="C208" s="48" t="s">
        <v>47</v>
      </c>
      <c r="D208" s="135" t="s">
        <v>97</v>
      </c>
      <c r="E208" s="48" t="s">
        <v>98</v>
      </c>
      <c r="F208" s="48" t="s">
        <v>99</v>
      </c>
      <c r="G208" s="48" t="s">
        <v>22</v>
      </c>
      <c r="H208" s="48" t="s">
        <v>23</v>
      </c>
      <c r="I208" s="48" t="s">
        <v>100</v>
      </c>
      <c r="J208" s="124"/>
      <c r="K208" s="48"/>
      <c r="L208" s="48" t="s">
        <v>101</v>
      </c>
      <c r="M208" s="48" t="s">
        <v>0</v>
      </c>
    </row>
    <row r="209" spans="1:13" s="132" customFormat="1" ht="12" customHeight="1" x14ac:dyDescent="0.3">
      <c r="A209" s="137" t="s">
        <v>105</v>
      </c>
      <c r="B209" s="71" t="str">
        <f>IF(A209="","",VLOOKUP(A209,'Database Lab+Equip'!$A:$D,2,FALSE))</f>
        <v>Operator</v>
      </c>
      <c r="C209" s="142">
        <v>2</v>
      </c>
      <c r="D209" s="269">
        <v>12</v>
      </c>
      <c r="E209" s="140">
        <f>IF(A209="",0,VLOOKUP(A209,'Database Lab+Equip'!$A:$D,3,FALSE))</f>
        <v>90</v>
      </c>
      <c r="F209" s="140">
        <f>IF(A209="",0,VLOOKUP(A209,'Database Lab+Equip'!$A:$D,4,FALSE))</f>
        <v>125.99999999999999</v>
      </c>
      <c r="G209" s="140">
        <f>IF(A209="",0,C209*D209*E209*E$205)</f>
        <v>21600</v>
      </c>
      <c r="H209" s="140">
        <f>IF(A209="",0,C209*D209*F209*E$205)</f>
        <v>30239.999999999996</v>
      </c>
      <c r="I209" s="140">
        <f>(H209*$M$205)+H209</f>
        <v>31751.999999999996</v>
      </c>
      <c r="J209" s="84"/>
      <c r="K209" s="29"/>
      <c r="L209" s="122"/>
      <c r="M209" s="84"/>
    </row>
    <row r="210" spans="1:13" s="132" customFormat="1" ht="12" customHeight="1" x14ac:dyDescent="0.3">
      <c r="A210" s="137"/>
      <c r="B210" s="71" t="str">
        <f>IF(A210="","",VLOOKUP(A210,'Database Lab+Equip'!$A:$D,2,FALSE))</f>
        <v/>
      </c>
      <c r="C210" s="142"/>
      <c r="D210" s="269"/>
      <c r="E210" s="140">
        <f>IF(A210="",0,VLOOKUP(A210,'Database Lab+Equip'!$A:$D,3,FALSE))</f>
        <v>0</v>
      </c>
      <c r="F210" s="140">
        <f>IF(A210="",0,VLOOKUP(A210,'Database Lab+Equip'!$A:$D,4,FALSE))</f>
        <v>0</v>
      </c>
      <c r="G210" s="140">
        <f>IF(A210="",0,C210*D210*E210*E$205)</f>
        <v>0</v>
      </c>
      <c r="H210" s="140">
        <f>IF(A210="",0,C210*D210*F210*E$205)</f>
        <v>0</v>
      </c>
      <c r="I210" s="140">
        <f>(H210*$M$205)+H210</f>
        <v>0</v>
      </c>
      <c r="J210" s="84"/>
      <c r="K210" s="29"/>
      <c r="L210" s="122"/>
      <c r="M210" s="122"/>
    </row>
    <row r="211" spans="1:13" s="132" customFormat="1" ht="12" customHeight="1" x14ac:dyDescent="0.3">
      <c r="A211" s="137"/>
      <c r="B211" s="71" t="str">
        <f>IF(A211="","",VLOOKUP(A211,'Database Lab+Equip'!$A:$D,2,FALSE))</f>
        <v/>
      </c>
      <c r="C211" s="142"/>
      <c r="D211" s="269"/>
      <c r="E211" s="140">
        <f>IF(A211="",0,VLOOKUP(A211,'Database Lab+Equip'!$A:$D,3,FALSE))</f>
        <v>0</v>
      </c>
      <c r="F211" s="140">
        <f>IF(A211="",0,VLOOKUP(A211,'Database Lab+Equip'!$A:$D,4,FALSE))</f>
        <v>0</v>
      </c>
      <c r="G211" s="140">
        <f>IF(A211="",0,C211*D211*E211*E$205)</f>
        <v>0</v>
      </c>
      <c r="H211" s="140">
        <f>IF(A211="",0,C211*D211*F211*E$205)</f>
        <v>0</v>
      </c>
      <c r="I211" s="140">
        <f>(H211*$M$205)+H211</f>
        <v>0</v>
      </c>
      <c r="J211" s="84"/>
      <c r="K211" s="29"/>
      <c r="L211" s="122"/>
      <c r="M211" s="122"/>
    </row>
    <row r="212" spans="1:13" s="132" customFormat="1" ht="12" customHeight="1" x14ac:dyDescent="0.3">
      <c r="A212" s="137"/>
      <c r="B212" s="71" t="str">
        <f>IF(A212="","",VLOOKUP(A212,'Database Lab+Equip'!$A:$D,2,FALSE))</f>
        <v/>
      </c>
      <c r="C212" s="142"/>
      <c r="D212" s="269"/>
      <c r="E212" s="140">
        <f>IF(A212="",0,VLOOKUP(A212,'Database Lab+Equip'!$A:$D,3,FALSE))</f>
        <v>0</v>
      </c>
      <c r="F212" s="140">
        <f>IF(A212="",0,VLOOKUP(A212,'Database Lab+Equip'!$A:$D,4,FALSE))</f>
        <v>0</v>
      </c>
      <c r="G212" s="140">
        <f>IF(A212="",0,C212*D212*E212*E$205)</f>
        <v>0</v>
      </c>
      <c r="H212" s="140">
        <f>IF(A212="",0,C212*D212*F212*E$205)</f>
        <v>0</v>
      </c>
      <c r="I212" s="140">
        <f>(H212*$M$205)+H212</f>
        <v>0</v>
      </c>
      <c r="J212" s="84"/>
      <c r="K212" s="29"/>
      <c r="L212" s="122"/>
      <c r="M212" s="122"/>
    </row>
    <row r="213" spans="1:13" s="132" customFormat="1" ht="12" customHeight="1" x14ac:dyDescent="0.3">
      <c r="A213" s="137"/>
      <c r="B213" s="71" t="str">
        <f>IF(A213="","",VLOOKUP(A213,'Database Lab+Equip'!$A:$D,2,FALSE))</f>
        <v/>
      </c>
      <c r="C213" s="142"/>
      <c r="D213" s="269"/>
      <c r="E213" s="140">
        <f>IF(A213="",0,VLOOKUP(A213,'Database Lab+Equip'!$A:$D,3,FALSE))</f>
        <v>0</v>
      </c>
      <c r="F213" s="140">
        <f>IF(A213="",0,VLOOKUP(A213,'Database Lab+Equip'!$A:$D,4,FALSE))</f>
        <v>0</v>
      </c>
      <c r="G213" s="140">
        <f>IF(A213="",0,C213*D213*E213*E$205)</f>
        <v>0</v>
      </c>
      <c r="H213" s="140">
        <f>IF(A213="",0,C213*D213*F213*E$205)</f>
        <v>0</v>
      </c>
      <c r="I213" s="140">
        <f>(H213*$M$205)+H213</f>
        <v>0</v>
      </c>
      <c r="J213" s="152" t="s">
        <v>108</v>
      </c>
      <c r="K213" s="153" t="s">
        <v>109</v>
      </c>
      <c r="L213" s="31"/>
      <c r="M213" s="123">
        <f>SUM(I209:I213)-SUM(G209:G213)</f>
        <v>10151.999999999996</v>
      </c>
    </row>
    <row r="214" spans="1:13" s="132" customFormat="1" ht="12" customHeight="1" x14ac:dyDescent="0.3">
      <c r="A214" s="35"/>
      <c r="C214" s="140"/>
      <c r="D214" s="270"/>
      <c r="E214" s="140"/>
      <c r="F214" s="140"/>
      <c r="G214" s="21">
        <f>SUM(G209:G213)</f>
        <v>21600</v>
      </c>
      <c r="H214" s="21">
        <f>SUM(H209:H213)</f>
        <v>30239.999999999996</v>
      </c>
      <c r="I214" s="21">
        <f>SUM(I209:I213)</f>
        <v>31751.999999999996</v>
      </c>
      <c r="J214" s="21">
        <f>G214</f>
        <v>21600</v>
      </c>
      <c r="K214" s="34">
        <f>I214</f>
        <v>31751.999999999996</v>
      </c>
      <c r="L214" s="247">
        <f>IF(J214=0,0,(K214-J214)/J214)</f>
        <v>0.46999999999999981</v>
      </c>
      <c r="M214" s="122"/>
    </row>
    <row r="215" spans="1:13" s="132" customFormat="1" ht="12" customHeight="1" x14ac:dyDescent="0.3">
      <c r="A215" s="35"/>
      <c r="B215" s="71"/>
      <c r="C215" s="122"/>
      <c r="D215" s="265"/>
      <c r="E215" s="122"/>
      <c r="F215" s="122"/>
      <c r="G215" s="122"/>
      <c r="H215" s="122"/>
      <c r="I215" s="144"/>
      <c r="J215" s="84"/>
      <c r="K215" s="29"/>
      <c r="L215" s="122"/>
      <c r="M215" s="122"/>
    </row>
    <row r="216" spans="1:13" s="132" customFormat="1" ht="41.4" x14ac:dyDescent="0.3">
      <c r="A216" s="246" t="s">
        <v>96</v>
      </c>
      <c r="B216" s="246" t="s">
        <v>80</v>
      </c>
      <c r="C216" s="48" t="s">
        <v>47</v>
      </c>
      <c r="D216" s="135" t="s">
        <v>110</v>
      </c>
      <c r="E216" s="48" t="s">
        <v>98</v>
      </c>
      <c r="F216" s="48" t="s">
        <v>99</v>
      </c>
      <c r="G216" s="48" t="s">
        <v>22</v>
      </c>
      <c r="H216" s="48" t="s">
        <v>23</v>
      </c>
      <c r="I216" s="48" t="s">
        <v>100</v>
      </c>
      <c r="J216" s="145"/>
      <c r="K216" s="48"/>
      <c r="L216" s="124"/>
      <c r="M216" s="124"/>
    </row>
    <row r="217" spans="1:13" s="132" customFormat="1" ht="12" customHeight="1" x14ac:dyDescent="0.3">
      <c r="A217" s="148" t="s">
        <v>120</v>
      </c>
      <c r="B217" s="71" t="str">
        <f>IF(A217="","",VLOOKUP(A217,'Database Lab+Equip'!$F:$I,2,FALSE))</f>
        <v>WA320</v>
      </c>
      <c r="C217" s="139">
        <v>2</v>
      </c>
      <c r="D217" s="271">
        <v>1</v>
      </c>
      <c r="E217" s="140">
        <f>IF(A217="",0,VLOOKUP(A217,'Database Lab+Equip'!$F:$I,3,FALSE))</f>
        <v>400</v>
      </c>
      <c r="F217" s="140">
        <f>IF(A217="",0,VLOOKUP(A217,'Database Lab+Equip'!$F:$I,4,FALSE))</f>
        <v>720</v>
      </c>
      <c r="G217" s="140">
        <f>IF(A217="",0,C217*D217*E217*E$205)</f>
        <v>8000</v>
      </c>
      <c r="H217" s="140">
        <f>IF(A217="",0,C217*D217*F217*E$205)</f>
        <v>14400</v>
      </c>
      <c r="I217" s="140">
        <f>(H217*$M$206)+H217</f>
        <v>15120</v>
      </c>
      <c r="J217" s="84"/>
      <c r="K217" s="29"/>
      <c r="L217" s="122"/>
      <c r="M217" s="84"/>
    </row>
    <row r="218" spans="1:13" s="132" customFormat="1" ht="12" customHeight="1" x14ac:dyDescent="0.3">
      <c r="A218" s="148" t="s">
        <v>160</v>
      </c>
      <c r="B218" s="71" t="str">
        <f>IF(A218="","",VLOOKUP(A218,'Database Lab+Equip'!$F:$I,2,FALSE))</f>
        <v>6x4 tip truck</v>
      </c>
      <c r="C218" s="142">
        <v>1</v>
      </c>
      <c r="D218" s="272">
        <v>1</v>
      </c>
      <c r="E218" s="140">
        <f>IF(A218="",0,VLOOKUP(A218,'Database Lab+Equip'!$F:$I,3,FALSE))</f>
        <v>600</v>
      </c>
      <c r="F218" s="140">
        <f>IF(A218="",0,VLOOKUP(A218,'Database Lab+Equip'!$F:$I,4,FALSE))</f>
        <v>840</v>
      </c>
      <c r="G218" s="140">
        <f t="shared" ref="G218:G224" si="21">IF(A218="",0,C218*D218*E218*E$205)</f>
        <v>6000</v>
      </c>
      <c r="H218" s="140">
        <f t="shared" ref="H218:H224" si="22">IF(A218="",0,C218*D218*F218*E$205)</f>
        <v>8400</v>
      </c>
      <c r="I218" s="140">
        <f t="shared" ref="I218:I224" si="23">(H218*$M$206)+H218</f>
        <v>8820</v>
      </c>
      <c r="J218" s="122"/>
      <c r="K218" s="29"/>
      <c r="L218" s="122"/>
      <c r="M218" s="122"/>
    </row>
    <row r="219" spans="1:13" s="132" customFormat="1" ht="12" customHeight="1" x14ac:dyDescent="0.3">
      <c r="A219" s="148"/>
      <c r="B219" s="71" t="str">
        <f>IF(A219="","",VLOOKUP(A219,'Database Lab+Equip'!$F:$I,2,FALSE))</f>
        <v/>
      </c>
      <c r="C219" s="142"/>
      <c r="D219" s="272"/>
      <c r="E219" s="140">
        <f>IF(A219="",0,VLOOKUP(A219,'Database Lab+Equip'!$F:$I,3,FALSE))</f>
        <v>0</v>
      </c>
      <c r="F219" s="140">
        <f>IF(A219="",0,VLOOKUP(A219,'Database Lab+Equip'!$F:$I,4,FALSE))</f>
        <v>0</v>
      </c>
      <c r="G219" s="140">
        <f t="shared" si="21"/>
        <v>0</v>
      </c>
      <c r="H219" s="140">
        <f t="shared" si="22"/>
        <v>0</v>
      </c>
      <c r="I219" s="140">
        <f t="shared" si="23"/>
        <v>0</v>
      </c>
      <c r="J219" s="84"/>
      <c r="K219" s="29"/>
      <c r="L219" s="122"/>
      <c r="M219" s="122"/>
    </row>
    <row r="220" spans="1:13" s="132" customFormat="1" ht="12" customHeight="1" x14ac:dyDescent="0.3">
      <c r="A220" s="148"/>
      <c r="B220" s="71" t="str">
        <f>IF(A220="","",VLOOKUP(A220,'Database Lab+Equip'!$F:$I,2,FALSE))</f>
        <v/>
      </c>
      <c r="C220" s="142"/>
      <c r="D220" s="272"/>
      <c r="E220" s="140">
        <f>IF(A220="",0,VLOOKUP(A220,'Database Lab+Equip'!$F:$I,3,FALSE))</f>
        <v>0</v>
      </c>
      <c r="F220" s="140">
        <f>IF(A220="",0,VLOOKUP(A220,'Database Lab+Equip'!$F:$I,4,FALSE))</f>
        <v>0</v>
      </c>
      <c r="G220" s="140">
        <f t="shared" si="21"/>
        <v>0</v>
      </c>
      <c r="H220" s="140">
        <f t="shared" si="22"/>
        <v>0</v>
      </c>
      <c r="I220" s="140">
        <f t="shared" si="23"/>
        <v>0</v>
      </c>
      <c r="J220" s="84"/>
      <c r="K220" s="29"/>
      <c r="L220" s="122"/>
      <c r="M220" s="122"/>
    </row>
    <row r="221" spans="1:13" s="132" customFormat="1" ht="12" customHeight="1" x14ac:dyDescent="0.3">
      <c r="A221" s="148"/>
      <c r="B221" s="71" t="str">
        <f>IF(A221="","",VLOOKUP(A221,'Database Lab+Equip'!$F:$I,2,FALSE))</f>
        <v/>
      </c>
      <c r="C221" s="142"/>
      <c r="D221" s="272"/>
      <c r="E221" s="140">
        <f>IF(A221="",0,VLOOKUP(A221,'Database Lab+Equip'!$F:$I,3,FALSE))</f>
        <v>0</v>
      </c>
      <c r="F221" s="140">
        <f>IF(A221="",0,VLOOKUP(A221,'Database Lab+Equip'!$F:$I,4,FALSE))</f>
        <v>0</v>
      </c>
      <c r="G221" s="140">
        <f t="shared" si="21"/>
        <v>0</v>
      </c>
      <c r="H221" s="140">
        <f t="shared" si="22"/>
        <v>0</v>
      </c>
      <c r="I221" s="140">
        <f t="shared" si="23"/>
        <v>0</v>
      </c>
      <c r="J221" s="84"/>
      <c r="K221" s="29"/>
      <c r="L221" s="122"/>
      <c r="M221" s="122"/>
    </row>
    <row r="222" spans="1:13" s="132" customFormat="1" ht="12" customHeight="1" x14ac:dyDescent="0.3">
      <c r="A222" s="148"/>
      <c r="B222" s="71" t="str">
        <f>IF(A222="","",VLOOKUP(A222,'Database Lab+Equip'!$F:$I,2,FALSE))</f>
        <v/>
      </c>
      <c r="C222" s="142"/>
      <c r="D222" s="272"/>
      <c r="E222" s="140">
        <f>IF(A222="",0,VLOOKUP(A222,'Database Lab+Equip'!$F:$I,3,FALSE))</f>
        <v>0</v>
      </c>
      <c r="F222" s="140">
        <f>IF(A222="",0,VLOOKUP(A222,'Database Lab+Equip'!$F:$I,4,FALSE))</f>
        <v>0</v>
      </c>
      <c r="G222" s="140">
        <f t="shared" si="21"/>
        <v>0</v>
      </c>
      <c r="H222" s="140">
        <f t="shared" si="22"/>
        <v>0</v>
      </c>
      <c r="I222" s="140">
        <f t="shared" si="23"/>
        <v>0</v>
      </c>
      <c r="J222" s="84"/>
      <c r="K222" s="29"/>
      <c r="L222" s="122"/>
      <c r="M222" s="122"/>
    </row>
    <row r="223" spans="1:13" s="132" customFormat="1" ht="12" customHeight="1" x14ac:dyDescent="0.3">
      <c r="A223" s="148"/>
      <c r="B223" s="71" t="str">
        <f>IF(A223="","",VLOOKUP(A223,'Database Lab+Equip'!$F:$I,2,FALSE))</f>
        <v/>
      </c>
      <c r="C223" s="150"/>
      <c r="D223" s="273"/>
      <c r="E223" s="140">
        <f>IF(A223="",0,VLOOKUP(A223,'Database Lab+Equip'!$F:$I,3,FALSE))</f>
        <v>0</v>
      </c>
      <c r="F223" s="140">
        <f>IF(A223="",0,VLOOKUP(A223,'Database Lab+Equip'!$F:$I,4,FALSE))</f>
        <v>0</v>
      </c>
      <c r="G223" s="140">
        <f t="shared" si="21"/>
        <v>0</v>
      </c>
      <c r="H223" s="140">
        <f t="shared" si="22"/>
        <v>0</v>
      </c>
      <c r="I223" s="140">
        <f t="shared" si="23"/>
        <v>0</v>
      </c>
      <c r="J223" s="84"/>
      <c r="K223" s="29"/>
      <c r="L223" s="122"/>
      <c r="M223" s="122"/>
    </row>
    <row r="224" spans="1:13" s="132" customFormat="1" ht="12" customHeight="1" x14ac:dyDescent="0.3">
      <c r="A224" s="148"/>
      <c r="B224" s="71" t="str">
        <f>IF(A224="","",VLOOKUP(A224,'Database Lab+Equip'!$F:$I,2,FALSE))</f>
        <v/>
      </c>
      <c r="C224" s="150"/>
      <c r="D224" s="273"/>
      <c r="E224" s="140">
        <f>IF(A224="",0,VLOOKUP(A224,'Database Lab+Equip'!$F:$I,3,FALSE))</f>
        <v>0</v>
      </c>
      <c r="F224" s="140">
        <f>IF(A224="",0,VLOOKUP(A224,'Database Lab+Equip'!$F:$I,4,FALSE))</f>
        <v>0</v>
      </c>
      <c r="G224" s="140">
        <f t="shared" si="21"/>
        <v>0</v>
      </c>
      <c r="H224" s="140">
        <f t="shared" si="22"/>
        <v>0</v>
      </c>
      <c r="I224" s="140">
        <f t="shared" si="23"/>
        <v>0</v>
      </c>
      <c r="J224" s="152" t="s">
        <v>108</v>
      </c>
      <c r="K224" s="153" t="s">
        <v>109</v>
      </c>
      <c r="L224" s="31"/>
      <c r="M224" s="125">
        <f>SUM(I217:I224)-SUM(G217:G224)</f>
        <v>9940</v>
      </c>
    </row>
    <row r="225" spans="1:13" s="132" customFormat="1" ht="12" customHeight="1" x14ac:dyDescent="0.3">
      <c r="A225" s="72"/>
      <c r="B225" s="71"/>
      <c r="D225" s="265"/>
      <c r="E225" s="122"/>
      <c r="F225" s="122"/>
      <c r="G225" s="21">
        <f>SUM(G217:G224)</f>
        <v>14000</v>
      </c>
      <c r="H225" s="21">
        <f>SUM(H217:H224)</f>
        <v>22800</v>
      </c>
      <c r="I225" s="21">
        <f>SUM(I217:I224)</f>
        <v>23940</v>
      </c>
      <c r="J225" s="21">
        <f>G225</f>
        <v>14000</v>
      </c>
      <c r="K225" s="34">
        <f>I225</f>
        <v>23940</v>
      </c>
      <c r="L225" s="256">
        <f>IF(J225=0,0,(K225-J225)/J225)</f>
        <v>0.71</v>
      </c>
      <c r="M225" s="187">
        <f>M213+M224</f>
        <v>20091.999999999996</v>
      </c>
    </row>
    <row r="226" spans="1:13" s="31" customFormat="1" ht="13.8" x14ac:dyDescent="0.3">
      <c r="A226" s="110"/>
      <c r="B226" s="257"/>
      <c r="C226" s="258"/>
      <c r="D226" s="274"/>
      <c r="E226" s="117"/>
      <c r="F226" s="117"/>
      <c r="G226" s="118"/>
      <c r="H226" s="110"/>
      <c r="I226" s="161"/>
      <c r="J226" s="162">
        <f>J214+J225</f>
        <v>35600</v>
      </c>
      <c r="K226" s="162">
        <f>K214+K225</f>
        <v>55692</v>
      </c>
      <c r="L226" s="259">
        <f>IF(J226=0,0,(K226-J226)/K226)</f>
        <v>0.36076994900524312</v>
      </c>
      <c r="M226" s="173"/>
    </row>
    <row r="227" spans="1:13" s="31" customFormat="1" ht="13.8" x14ac:dyDescent="0.3">
      <c r="A227" s="112"/>
      <c r="B227" s="251"/>
      <c r="C227" s="252"/>
      <c r="D227" s="275"/>
      <c r="E227" s="215"/>
      <c r="F227" s="215"/>
      <c r="G227" s="216"/>
      <c r="H227" s="112"/>
      <c r="I227" s="217"/>
      <c r="J227" s="218"/>
      <c r="K227" s="218"/>
      <c r="L227" s="254"/>
      <c r="M227" s="213"/>
    </row>
    <row r="228" spans="1:13" ht="15.6" x14ac:dyDescent="0.3">
      <c r="B228" s="353"/>
      <c r="C228" s="239"/>
      <c r="D228" s="42"/>
      <c r="E228" s="239"/>
      <c r="F228" s="255"/>
      <c r="H228" s="132"/>
      <c r="I228" s="132"/>
      <c r="L228" s="93" t="s">
        <v>85</v>
      </c>
      <c r="M228" s="94"/>
    </row>
    <row r="229" spans="1:13" s="132" customFormat="1" ht="12" customHeight="1" x14ac:dyDescent="0.3">
      <c r="B229" s="59" t="s">
        <v>135</v>
      </c>
      <c r="C229" s="242"/>
      <c r="D229" s="266" t="s">
        <v>87</v>
      </c>
      <c r="E229" s="23"/>
      <c r="F229" s="133"/>
      <c r="H229" s="14"/>
      <c r="I229" s="14"/>
      <c r="J229" s="121"/>
      <c r="K229" s="121"/>
      <c r="L229" s="126" t="s">
        <v>88</v>
      </c>
      <c r="M229" s="243"/>
    </row>
    <row r="230" spans="1:13" s="132" customFormat="1" ht="12" customHeight="1" x14ac:dyDescent="0.3">
      <c r="B230" s="59" t="s">
        <v>141</v>
      </c>
      <c r="C230" s="25"/>
      <c r="D230" s="266" t="s">
        <v>89</v>
      </c>
      <c r="E230" s="23"/>
      <c r="J230" s="122"/>
      <c r="K230" s="121"/>
      <c r="L230" s="126" t="s">
        <v>90</v>
      </c>
      <c r="M230" s="243"/>
    </row>
    <row r="231" spans="1:13" s="132" customFormat="1" ht="12" customHeight="1" x14ac:dyDescent="0.3">
      <c r="B231" s="59" t="s">
        <v>142</v>
      </c>
      <c r="C231" s="27" t="str">
        <f>IF(C229="","",C229/E231+C230)</f>
        <v/>
      </c>
      <c r="D231" s="266" t="s">
        <v>91</v>
      </c>
      <c r="E231" s="23"/>
      <c r="I231" s="26"/>
      <c r="J231" s="29"/>
      <c r="K231" s="121"/>
      <c r="L231" s="126" t="s">
        <v>92</v>
      </c>
      <c r="M231" s="243"/>
    </row>
    <row r="232" spans="1:13" s="132" customFormat="1" ht="12" customHeight="1" x14ac:dyDescent="0.3">
      <c r="B232" s="59" t="s">
        <v>143</v>
      </c>
      <c r="C232" s="25"/>
      <c r="D232" s="266" t="s">
        <v>25</v>
      </c>
      <c r="E232" s="128">
        <f>SUM(C237:C241)</f>
        <v>0</v>
      </c>
      <c r="I232" s="26"/>
      <c r="J232" s="29"/>
      <c r="K232" s="121"/>
      <c r="L232" s="93" t="s">
        <v>94</v>
      </c>
      <c r="M232" s="94"/>
    </row>
    <row r="233" spans="1:13" s="132" customFormat="1" ht="12" customHeight="1" x14ac:dyDescent="0.3">
      <c r="B233" s="59" t="s">
        <v>144</v>
      </c>
      <c r="C233" s="25">
        <v>10</v>
      </c>
      <c r="D233" s="266" t="s">
        <v>44</v>
      </c>
      <c r="E233" s="244">
        <v>14</v>
      </c>
      <c r="I233" s="26"/>
      <c r="J233" s="29"/>
      <c r="K233" s="121"/>
      <c r="L233" s="57" t="s">
        <v>70</v>
      </c>
      <c r="M233" s="58">
        <f>M9</f>
        <v>0.05</v>
      </c>
    </row>
    <row r="234" spans="1:13" s="132" customFormat="1" ht="12" customHeight="1" x14ac:dyDescent="0.3">
      <c r="B234" s="28"/>
      <c r="C234" s="122"/>
      <c r="D234" s="267"/>
      <c r="E234" s="211"/>
      <c r="I234" s="26"/>
      <c r="J234" s="29"/>
      <c r="K234" s="121"/>
      <c r="L234" s="57" t="s">
        <v>80</v>
      </c>
      <c r="M234" s="58">
        <f>M10</f>
        <v>0.05</v>
      </c>
    </row>
    <row r="235" spans="1:13" s="132" customFormat="1" ht="12" customHeight="1" x14ac:dyDescent="0.3">
      <c r="B235" s="28"/>
      <c r="C235" s="28"/>
      <c r="D235" s="43"/>
      <c r="H235" s="29"/>
      <c r="I235" s="29"/>
      <c r="J235" s="29"/>
      <c r="K235" s="29"/>
      <c r="L235" s="122"/>
      <c r="M235" s="122"/>
    </row>
    <row r="236" spans="1:13" s="132" customFormat="1" ht="27.6" x14ac:dyDescent="0.3">
      <c r="A236" s="246" t="s">
        <v>145</v>
      </c>
      <c r="B236" s="246" t="s">
        <v>70</v>
      </c>
      <c r="C236" s="48" t="s">
        <v>47</v>
      </c>
      <c r="D236" s="135" t="s">
        <v>97</v>
      </c>
      <c r="E236" s="48" t="s">
        <v>98</v>
      </c>
      <c r="F236" s="48" t="s">
        <v>99</v>
      </c>
      <c r="G236" s="48" t="s">
        <v>22</v>
      </c>
      <c r="H236" s="48" t="s">
        <v>23</v>
      </c>
      <c r="I236" s="48" t="s">
        <v>100</v>
      </c>
      <c r="J236" s="124"/>
      <c r="K236" s="48"/>
      <c r="L236" s="48" t="s">
        <v>101</v>
      </c>
      <c r="M236" s="48" t="s">
        <v>0</v>
      </c>
    </row>
    <row r="237" spans="1:13" s="132" customFormat="1" ht="12" customHeight="1" x14ac:dyDescent="0.3">
      <c r="A237" s="137"/>
      <c r="B237" s="71"/>
      <c r="C237" s="142"/>
      <c r="D237" s="269"/>
      <c r="E237" s="140"/>
      <c r="F237" s="140"/>
      <c r="G237" s="140"/>
      <c r="H237" s="140"/>
      <c r="I237" s="140"/>
      <c r="J237" s="84"/>
      <c r="K237" s="29"/>
      <c r="L237" s="122"/>
      <c r="M237" s="84"/>
    </row>
    <row r="238" spans="1:13" s="132" customFormat="1" ht="12" customHeight="1" x14ac:dyDescent="0.3">
      <c r="A238" s="137"/>
      <c r="B238" s="71"/>
      <c r="C238" s="142"/>
      <c r="D238" s="269"/>
      <c r="E238" s="140"/>
      <c r="F238" s="140"/>
      <c r="G238" s="140"/>
      <c r="H238" s="140"/>
      <c r="I238" s="140"/>
      <c r="J238" s="84"/>
      <c r="K238" s="29"/>
      <c r="L238" s="122"/>
      <c r="M238" s="122"/>
    </row>
    <row r="239" spans="1:13" s="132" customFormat="1" ht="12" customHeight="1" x14ac:dyDescent="0.3">
      <c r="A239" s="137"/>
      <c r="B239" s="71"/>
      <c r="C239" s="142"/>
      <c r="D239" s="269"/>
      <c r="E239" s="140"/>
      <c r="F239" s="140"/>
      <c r="G239" s="140"/>
      <c r="H239" s="140"/>
      <c r="I239" s="140"/>
      <c r="J239" s="84"/>
      <c r="K239" s="29"/>
      <c r="L239" s="122"/>
      <c r="M239" s="122"/>
    </row>
    <row r="240" spans="1:13" s="132" customFormat="1" ht="12" customHeight="1" x14ac:dyDescent="0.3">
      <c r="A240" s="137"/>
      <c r="B240" s="71"/>
      <c r="C240" s="142"/>
      <c r="D240" s="269"/>
      <c r="E240" s="140"/>
      <c r="F240" s="140"/>
      <c r="G240" s="140"/>
      <c r="H240" s="140"/>
      <c r="I240" s="140"/>
      <c r="J240" s="84"/>
      <c r="K240" s="29"/>
      <c r="L240" s="122"/>
      <c r="M240" s="122"/>
    </row>
    <row r="241" spans="1:13" s="132" customFormat="1" ht="12" customHeight="1" x14ac:dyDescent="0.3">
      <c r="A241" s="137"/>
      <c r="B241" s="71"/>
      <c r="C241" s="142"/>
      <c r="D241" s="269"/>
      <c r="E241" s="140"/>
      <c r="F241" s="140"/>
      <c r="G241" s="140"/>
      <c r="H241" s="140"/>
      <c r="I241" s="140"/>
      <c r="J241" s="152" t="s">
        <v>108</v>
      </c>
      <c r="K241" s="153" t="s">
        <v>109</v>
      </c>
      <c r="L241" s="31"/>
      <c r="M241" s="123">
        <f>SUM(I237:I241)-SUM(G237:G241)</f>
        <v>0</v>
      </c>
    </row>
    <row r="242" spans="1:13" s="132" customFormat="1" ht="12" customHeight="1" x14ac:dyDescent="0.3">
      <c r="A242" s="35"/>
      <c r="C242" s="140"/>
      <c r="D242" s="270"/>
      <c r="E242" s="140"/>
      <c r="F242" s="140"/>
      <c r="G242" s="21"/>
      <c r="H242" s="21"/>
      <c r="I242" s="21"/>
      <c r="J242" s="21">
        <f>G242</f>
        <v>0</v>
      </c>
      <c r="K242" s="34">
        <f>I242</f>
        <v>0</v>
      </c>
      <c r="L242" s="247">
        <f>IF(J242=0,0,(K242-J242)/J242)</f>
        <v>0</v>
      </c>
      <c r="M242" s="122"/>
    </row>
    <row r="243" spans="1:13" s="132" customFormat="1" ht="12" customHeight="1" x14ac:dyDescent="0.3">
      <c r="A243" s="35"/>
      <c r="B243" s="71"/>
      <c r="C243" s="122"/>
      <c r="D243" s="265"/>
      <c r="E243" s="122"/>
      <c r="F243" s="122"/>
      <c r="G243" s="122"/>
      <c r="H243" s="122"/>
      <c r="I243" s="144"/>
      <c r="J243" s="84"/>
      <c r="K243" s="29"/>
      <c r="L243" s="122"/>
      <c r="M243" s="122"/>
    </row>
    <row r="244" spans="1:13" s="132" customFormat="1" ht="13.8" x14ac:dyDescent="0.3">
      <c r="A244" s="246"/>
      <c r="B244" s="246"/>
      <c r="C244" s="48"/>
      <c r="D244" s="135"/>
      <c r="E244" s="48"/>
      <c r="F244" s="48"/>
      <c r="G244" s="48"/>
      <c r="H244" s="48"/>
      <c r="I244" s="48"/>
      <c r="J244" s="145"/>
      <c r="K244" s="48"/>
      <c r="L244" s="124"/>
      <c r="M244" s="124"/>
    </row>
    <row r="245" spans="1:13" s="132" customFormat="1" ht="12" customHeight="1" x14ac:dyDescent="0.3">
      <c r="A245" s="148"/>
      <c r="B245" s="71"/>
      <c r="C245" s="139"/>
      <c r="D245" s="271"/>
      <c r="E245" s="140"/>
      <c r="F245" s="140"/>
      <c r="G245" s="140"/>
      <c r="H245" s="140"/>
      <c r="I245" s="140"/>
      <c r="J245" s="84"/>
      <c r="K245" s="29"/>
      <c r="L245" s="122"/>
      <c r="M245" s="84"/>
    </row>
    <row r="246" spans="1:13" s="132" customFormat="1" ht="12" customHeight="1" x14ac:dyDescent="0.3">
      <c r="A246" s="148"/>
      <c r="B246" s="71"/>
      <c r="C246" s="142"/>
      <c r="D246" s="272"/>
      <c r="E246" s="140"/>
      <c r="F246" s="140"/>
      <c r="G246" s="140"/>
      <c r="H246" s="140"/>
      <c r="I246" s="140"/>
      <c r="J246" s="122"/>
      <c r="K246" s="29"/>
      <c r="L246" s="122"/>
      <c r="M246" s="122"/>
    </row>
    <row r="247" spans="1:13" s="132" customFormat="1" ht="12" customHeight="1" x14ac:dyDescent="0.3">
      <c r="A247" s="148"/>
      <c r="B247" s="71"/>
      <c r="C247" s="142"/>
      <c r="D247" s="272"/>
      <c r="E247" s="140"/>
      <c r="F247" s="140"/>
      <c r="G247" s="140"/>
      <c r="H247" s="140"/>
      <c r="I247" s="140"/>
      <c r="J247" s="84"/>
      <c r="K247" s="29"/>
      <c r="L247" s="122"/>
      <c r="M247" s="122"/>
    </row>
    <row r="248" spans="1:13" s="132" customFormat="1" ht="12" customHeight="1" x14ac:dyDescent="0.3">
      <c r="A248" s="148"/>
      <c r="B248" s="71" t="str">
        <f>IF(A248="","",VLOOKUP(A248,'Database Lab+Equip'!$F:$I,2,FALSE))</f>
        <v/>
      </c>
      <c r="C248" s="142"/>
      <c r="D248" s="272"/>
      <c r="E248" s="140">
        <f>IF(A248="",0,VLOOKUP(A248,'Database Lab+Equip'!$F:$I,3,FALSE))</f>
        <v>0</v>
      </c>
      <c r="F248" s="140">
        <f>IF(A248="",0,VLOOKUP(A248,'Database Lab+Equip'!$F:$I,4,FALSE))</f>
        <v>0</v>
      </c>
      <c r="G248" s="140">
        <f t="shared" ref="G248:G252" si="24">IF(A248="",0,C248*D248*E248*E$233)</f>
        <v>0</v>
      </c>
      <c r="H248" s="140">
        <f t="shared" ref="H248:H252" si="25">IF(A248="",0,C248*D248*F248*E$233)</f>
        <v>0</v>
      </c>
      <c r="I248" s="140">
        <f t="shared" ref="I248:I252" si="26">(H248*$M$234)+H248</f>
        <v>0</v>
      </c>
      <c r="J248" s="84"/>
      <c r="K248" s="29"/>
      <c r="L248" s="122"/>
      <c r="M248" s="122"/>
    </row>
    <row r="249" spans="1:13" s="132" customFormat="1" ht="12" customHeight="1" x14ac:dyDescent="0.3">
      <c r="A249" s="148"/>
      <c r="B249" s="71" t="str">
        <f>IF(A249="","",VLOOKUP(A249,'Database Lab+Equip'!$F:$I,2,FALSE))</f>
        <v/>
      </c>
      <c r="C249" s="142"/>
      <c r="D249" s="272"/>
      <c r="E249" s="140">
        <f>IF(A249="",0,VLOOKUP(A249,'Database Lab+Equip'!$F:$I,3,FALSE))</f>
        <v>0</v>
      </c>
      <c r="F249" s="140">
        <f>IF(A249="",0,VLOOKUP(A249,'Database Lab+Equip'!$F:$I,4,FALSE))</f>
        <v>0</v>
      </c>
      <c r="G249" s="140">
        <f t="shared" si="24"/>
        <v>0</v>
      </c>
      <c r="H249" s="140">
        <f t="shared" si="25"/>
        <v>0</v>
      </c>
      <c r="I249" s="140">
        <f t="shared" si="26"/>
        <v>0</v>
      </c>
      <c r="J249" s="84"/>
      <c r="K249" s="29"/>
      <c r="L249" s="122"/>
      <c r="M249" s="122"/>
    </row>
    <row r="250" spans="1:13" s="132" customFormat="1" ht="12" customHeight="1" x14ac:dyDescent="0.3">
      <c r="A250" s="148"/>
      <c r="B250" s="71" t="str">
        <f>IF(A250="","",VLOOKUP(A250,'Database Lab+Equip'!$F:$I,2,FALSE))</f>
        <v/>
      </c>
      <c r="C250" s="142"/>
      <c r="D250" s="272"/>
      <c r="E250" s="140">
        <f>IF(A250="",0,VLOOKUP(A250,'Database Lab+Equip'!$F:$I,3,FALSE))</f>
        <v>0</v>
      </c>
      <c r="F250" s="140">
        <f>IF(A250="",0,VLOOKUP(A250,'Database Lab+Equip'!$F:$I,4,FALSE))</f>
        <v>0</v>
      </c>
      <c r="G250" s="140">
        <f t="shared" si="24"/>
        <v>0</v>
      </c>
      <c r="H250" s="140">
        <f t="shared" si="25"/>
        <v>0</v>
      </c>
      <c r="I250" s="140">
        <f t="shared" si="26"/>
        <v>0</v>
      </c>
      <c r="J250" s="84"/>
      <c r="K250" s="29"/>
      <c r="L250" s="122"/>
      <c r="M250" s="122"/>
    </row>
    <row r="251" spans="1:13" s="132" customFormat="1" ht="12" customHeight="1" x14ac:dyDescent="0.3">
      <c r="A251" s="148"/>
      <c r="B251" s="71" t="str">
        <f>IF(A251="","",VLOOKUP(A251,'Database Lab+Equip'!$F:$I,2,FALSE))</f>
        <v/>
      </c>
      <c r="C251" s="150"/>
      <c r="D251" s="273"/>
      <c r="E251" s="140">
        <f>IF(A251="",0,VLOOKUP(A251,'Database Lab+Equip'!$F:$I,3,FALSE))</f>
        <v>0</v>
      </c>
      <c r="F251" s="140">
        <f>IF(A251="",0,VLOOKUP(A251,'Database Lab+Equip'!$F:$I,4,FALSE))</f>
        <v>0</v>
      </c>
      <c r="G251" s="140">
        <f t="shared" si="24"/>
        <v>0</v>
      </c>
      <c r="H251" s="140">
        <f t="shared" si="25"/>
        <v>0</v>
      </c>
      <c r="I251" s="140">
        <f t="shared" si="26"/>
        <v>0</v>
      </c>
      <c r="J251" s="84"/>
      <c r="K251" s="29"/>
      <c r="L251" s="122"/>
      <c r="M251" s="122"/>
    </row>
    <row r="252" spans="1:13" s="132" customFormat="1" ht="12" customHeight="1" x14ac:dyDescent="0.3">
      <c r="A252" s="148"/>
      <c r="B252" s="71" t="str">
        <f>IF(A252="","",VLOOKUP(A252,'Database Lab+Equip'!$F:$I,2,FALSE))</f>
        <v/>
      </c>
      <c r="C252" s="150"/>
      <c r="D252" s="273"/>
      <c r="E252" s="140">
        <f>IF(A252="",0,VLOOKUP(A252,'Database Lab+Equip'!$F:$I,3,FALSE))</f>
        <v>0</v>
      </c>
      <c r="F252" s="140">
        <f>IF(A252="",0,VLOOKUP(A252,'Database Lab+Equip'!$F:$I,4,FALSE))</f>
        <v>0</v>
      </c>
      <c r="G252" s="140">
        <f t="shared" si="24"/>
        <v>0</v>
      </c>
      <c r="H252" s="140">
        <f t="shared" si="25"/>
        <v>0</v>
      </c>
      <c r="I252" s="140">
        <f t="shared" si="26"/>
        <v>0</v>
      </c>
      <c r="J252" s="152" t="s">
        <v>108</v>
      </c>
      <c r="K252" s="153" t="s">
        <v>109</v>
      </c>
      <c r="L252" s="31"/>
      <c r="M252" s="125">
        <f>SUM(I245:I252)-SUM(G245:G252)</f>
        <v>0</v>
      </c>
    </row>
    <row r="253" spans="1:13" s="132" customFormat="1" ht="12" customHeight="1" x14ac:dyDescent="0.3">
      <c r="A253" s="72"/>
      <c r="B253" s="71"/>
      <c r="D253" s="265"/>
      <c r="E253" s="122"/>
      <c r="F253" s="122"/>
      <c r="G253" s="21">
        <f>SUM(G245:G252)</f>
        <v>0</v>
      </c>
      <c r="H253" s="21">
        <f>SUM(H245:H252)</f>
        <v>0</v>
      </c>
      <c r="I253" s="21">
        <f>SUM(I245:I252)</f>
        <v>0</v>
      </c>
      <c r="J253" s="21">
        <f>G253</f>
        <v>0</v>
      </c>
      <c r="K253" s="34">
        <f>I253</f>
        <v>0</v>
      </c>
      <c r="L253" s="256">
        <f>IF(J253=0,0,(K253-J253)/J253)</f>
        <v>0</v>
      </c>
      <c r="M253" s="187">
        <f>M241+M252</f>
        <v>0</v>
      </c>
    </row>
    <row r="254" spans="1:13" s="31" customFormat="1" ht="13.8" x14ac:dyDescent="0.3">
      <c r="A254" s="110"/>
      <c r="B254" s="257"/>
      <c r="C254" s="258"/>
      <c r="D254" s="274"/>
      <c r="E254" s="117"/>
      <c r="F254" s="117"/>
      <c r="G254" s="118"/>
      <c r="H254" s="110"/>
      <c r="I254" s="161"/>
      <c r="J254" s="162">
        <f>J242+J253</f>
        <v>0</v>
      </c>
      <c r="K254" s="162"/>
      <c r="L254" s="259">
        <f>IF(J254=0,0,(K254-J254)/K254)</f>
        <v>0</v>
      </c>
      <c r="M254" s="173"/>
    </row>
    <row r="255" spans="1:13" s="31" customFormat="1" ht="13.8" x14ac:dyDescent="0.3">
      <c r="A255" s="112"/>
      <c r="B255" s="251"/>
      <c r="C255" s="252"/>
      <c r="D255" s="275"/>
      <c r="E255" s="215"/>
      <c r="F255" s="215"/>
      <c r="G255" s="216"/>
      <c r="H255" s="112"/>
      <c r="I255" s="217"/>
      <c r="J255" s="218"/>
      <c r="K255" s="218"/>
      <c r="L255" s="254"/>
      <c r="M255" s="213"/>
    </row>
    <row r="256" spans="1:13" ht="15.6" x14ac:dyDescent="0.3">
      <c r="B256" s="353" t="s">
        <v>162</v>
      </c>
      <c r="C256" s="239"/>
      <c r="D256" s="42"/>
      <c r="E256" s="239"/>
      <c r="F256" s="255"/>
      <c r="H256" s="132"/>
      <c r="I256" s="132"/>
      <c r="L256" s="93" t="s">
        <v>85</v>
      </c>
      <c r="M256" s="94"/>
    </row>
    <row r="257" spans="1:13" s="132" customFormat="1" ht="12" customHeight="1" x14ac:dyDescent="0.3">
      <c r="B257" s="59" t="s">
        <v>135</v>
      </c>
      <c r="C257" s="242"/>
      <c r="D257" s="266" t="s">
        <v>87</v>
      </c>
      <c r="E257" s="23"/>
      <c r="F257" s="133"/>
      <c r="H257" s="14"/>
      <c r="I257" s="14"/>
      <c r="J257" s="121"/>
      <c r="K257" s="121"/>
      <c r="L257" s="126" t="s">
        <v>88</v>
      </c>
      <c r="M257" s="243"/>
    </row>
    <row r="258" spans="1:13" s="132" customFormat="1" ht="12" customHeight="1" x14ac:dyDescent="0.3">
      <c r="B258" s="59" t="s">
        <v>141</v>
      </c>
      <c r="C258" s="25"/>
      <c r="D258" s="266" t="s">
        <v>89</v>
      </c>
      <c r="E258" s="23"/>
      <c r="J258" s="122"/>
      <c r="K258" s="121"/>
      <c r="L258" s="126" t="s">
        <v>90</v>
      </c>
      <c r="M258" s="243"/>
    </row>
    <row r="259" spans="1:13" s="132" customFormat="1" ht="12" customHeight="1" x14ac:dyDescent="0.3">
      <c r="B259" s="59" t="s">
        <v>142</v>
      </c>
      <c r="C259" s="27" t="str">
        <f>IF(C257="","",C257/E259+C258)</f>
        <v/>
      </c>
      <c r="D259" s="266" t="s">
        <v>91</v>
      </c>
      <c r="E259" s="23"/>
      <c r="I259" s="26"/>
      <c r="J259" s="29"/>
      <c r="K259" s="121"/>
      <c r="L259" s="126" t="s">
        <v>92</v>
      </c>
      <c r="M259" s="243"/>
    </row>
    <row r="260" spans="1:13" s="132" customFormat="1" ht="12" customHeight="1" x14ac:dyDescent="0.3">
      <c r="B260" s="59" t="s">
        <v>143</v>
      </c>
      <c r="C260" s="25"/>
      <c r="D260" s="266" t="s">
        <v>25</v>
      </c>
      <c r="E260" s="128">
        <f>SUM(C265:C269)</f>
        <v>3</v>
      </c>
      <c r="I260" s="26"/>
      <c r="J260" s="29"/>
      <c r="K260" s="121"/>
      <c r="L260" s="93" t="s">
        <v>94</v>
      </c>
      <c r="M260" s="94"/>
    </row>
    <row r="261" spans="1:13" s="132" customFormat="1" ht="12" customHeight="1" x14ac:dyDescent="0.3">
      <c r="B261" s="59" t="s">
        <v>144</v>
      </c>
      <c r="C261" s="25">
        <v>10</v>
      </c>
      <c r="D261" s="266" t="s">
        <v>44</v>
      </c>
      <c r="E261" s="244">
        <v>7</v>
      </c>
      <c r="I261" s="26"/>
      <c r="J261" s="29"/>
      <c r="K261" s="121"/>
      <c r="L261" s="57" t="s">
        <v>70</v>
      </c>
      <c r="M261" s="58">
        <f>M9</f>
        <v>0.05</v>
      </c>
    </row>
    <row r="262" spans="1:13" s="132" customFormat="1" ht="12" customHeight="1" x14ac:dyDescent="0.3">
      <c r="B262" s="28"/>
      <c r="C262" s="122"/>
      <c r="D262" s="267"/>
      <c r="E262" s="211"/>
      <c r="I262" s="26"/>
      <c r="J262" s="29"/>
      <c r="K262" s="121"/>
      <c r="L262" s="57" t="s">
        <v>80</v>
      </c>
      <c r="M262" s="58">
        <f>M10</f>
        <v>0.05</v>
      </c>
    </row>
    <row r="263" spans="1:13" s="132" customFormat="1" ht="12" customHeight="1" x14ac:dyDescent="0.3">
      <c r="B263" s="28"/>
      <c r="C263" s="28"/>
      <c r="D263" s="43"/>
      <c r="H263" s="29"/>
      <c r="I263" s="29"/>
      <c r="J263" s="29"/>
      <c r="K263" s="29"/>
      <c r="L263" s="122"/>
      <c r="M263" s="122"/>
    </row>
    <row r="264" spans="1:13" s="132" customFormat="1" ht="27.6" x14ac:dyDescent="0.3">
      <c r="A264" s="246" t="s">
        <v>145</v>
      </c>
      <c r="B264" s="246" t="s">
        <v>70</v>
      </c>
      <c r="C264" s="48" t="s">
        <v>47</v>
      </c>
      <c r="D264" s="135" t="s">
        <v>97</v>
      </c>
      <c r="E264" s="48" t="s">
        <v>98</v>
      </c>
      <c r="F264" s="48" t="s">
        <v>99</v>
      </c>
      <c r="G264" s="48" t="s">
        <v>22</v>
      </c>
      <c r="H264" s="48" t="s">
        <v>23</v>
      </c>
      <c r="I264" s="48" t="s">
        <v>100</v>
      </c>
      <c r="J264" s="124"/>
      <c r="K264" s="48"/>
      <c r="L264" s="48" t="s">
        <v>101</v>
      </c>
      <c r="M264" s="48" t="s">
        <v>0</v>
      </c>
    </row>
    <row r="265" spans="1:13" s="132" customFormat="1" ht="12" customHeight="1" x14ac:dyDescent="0.3">
      <c r="A265" s="137" t="s">
        <v>105</v>
      </c>
      <c r="B265" s="71" t="str">
        <f>IF(A265="","",VLOOKUP(A265,'Database Lab+Equip'!$A:$D,2,FALSE))</f>
        <v>Operator</v>
      </c>
      <c r="C265" s="142">
        <v>1</v>
      </c>
      <c r="D265" s="269">
        <v>12</v>
      </c>
      <c r="E265" s="140">
        <f>IF(A265="",0,VLOOKUP(A265,'Database Lab+Equip'!$A:$D,3,FALSE))</f>
        <v>90</v>
      </c>
      <c r="F265" s="140">
        <f>IF(A265="",0,VLOOKUP(A265,'Database Lab+Equip'!$A:$D,4,FALSE))</f>
        <v>125.99999999999999</v>
      </c>
      <c r="G265" s="140">
        <f>IF(A265="",0,C265*D265*E265*E$261)</f>
        <v>7560</v>
      </c>
      <c r="H265" s="140">
        <f>IF(A265="",0,C265*D265*F265*E$261)</f>
        <v>10583.999999999998</v>
      </c>
      <c r="I265" s="140">
        <f>(H265*$M$261)+H265</f>
        <v>11113.199999999999</v>
      </c>
      <c r="J265" s="84"/>
      <c r="K265" s="29"/>
      <c r="L265" s="122"/>
      <c r="M265" s="84"/>
    </row>
    <row r="266" spans="1:13" s="132" customFormat="1" ht="12" customHeight="1" x14ac:dyDescent="0.3">
      <c r="A266" s="137" t="s">
        <v>103</v>
      </c>
      <c r="B266" s="71" t="str">
        <f>IF(A266="","",VLOOKUP(A266,'Database Lab+Equip'!$A:$D,2,FALSE))</f>
        <v>Polywelder</v>
      </c>
      <c r="C266" s="142">
        <v>1</v>
      </c>
      <c r="D266" s="269">
        <v>12</v>
      </c>
      <c r="E266" s="140">
        <f>IF(A266="",0,VLOOKUP(A266,'Database Lab+Equip'!$A:$D,3,FALSE))</f>
        <v>90</v>
      </c>
      <c r="F266" s="140">
        <f>IF(A266="",0,VLOOKUP(A266,'Database Lab+Equip'!$A:$D,4,FALSE))</f>
        <v>125.99999999999999</v>
      </c>
      <c r="G266" s="140">
        <f>IF(A266="",0,C266*D266*E266*E$261)</f>
        <v>7560</v>
      </c>
      <c r="H266" s="140">
        <f>IF(A266="",0,C266*D266*F266*E$261)</f>
        <v>10583.999999999998</v>
      </c>
      <c r="I266" s="140">
        <f>(H266*$M$261)+H266</f>
        <v>11113.199999999999</v>
      </c>
      <c r="J266" s="84"/>
      <c r="K266" s="29"/>
      <c r="L266" s="122"/>
      <c r="M266" s="122"/>
    </row>
    <row r="267" spans="1:13" s="132" customFormat="1" ht="12" customHeight="1" x14ac:dyDescent="0.3">
      <c r="A267" s="137" t="s">
        <v>106</v>
      </c>
      <c r="B267" s="71" t="str">
        <f>IF(A267="","",VLOOKUP(A267,'Database Lab+Equip'!$A:$D,2,FALSE))</f>
        <v>Trades Assistant</v>
      </c>
      <c r="C267" s="142">
        <v>1</v>
      </c>
      <c r="D267" s="269">
        <v>12</v>
      </c>
      <c r="E267" s="140">
        <f>IF(A267="",0,VLOOKUP(A267,'Database Lab+Equip'!$A:$D,3,FALSE))</f>
        <v>85</v>
      </c>
      <c r="F267" s="140">
        <f>IF(A267="",0,VLOOKUP(A267,'Database Lab+Equip'!$A:$D,4,FALSE))</f>
        <v>118.99999999999999</v>
      </c>
      <c r="G267" s="140">
        <f>IF(A267="",0,C267*D267*E267*E$261)</f>
        <v>7140</v>
      </c>
      <c r="H267" s="140">
        <f>IF(A267="",0,C267*D267*F267*E$261)</f>
        <v>9995.9999999999982</v>
      </c>
      <c r="I267" s="140">
        <f>(H267*$M$261)+H267</f>
        <v>10495.799999999997</v>
      </c>
      <c r="J267" s="84"/>
      <c r="K267" s="29"/>
      <c r="L267" s="122"/>
      <c r="M267" s="122"/>
    </row>
    <row r="268" spans="1:13" s="132" customFormat="1" ht="12" customHeight="1" x14ac:dyDescent="0.3">
      <c r="A268" s="137"/>
      <c r="B268" s="71" t="str">
        <f>IF(A268="","",VLOOKUP(A268,'Database Lab+Equip'!$A:$D,2,FALSE))</f>
        <v/>
      </c>
      <c r="C268" s="142"/>
      <c r="D268" s="269"/>
      <c r="E268" s="140">
        <f>IF(A268="",0,VLOOKUP(A268,'Database Lab+Equip'!$A:$D,3,FALSE))</f>
        <v>0</v>
      </c>
      <c r="F268" s="140">
        <f>IF(A268="",0,VLOOKUP(A268,'Database Lab+Equip'!$A:$D,4,FALSE))</f>
        <v>0</v>
      </c>
      <c r="G268" s="140">
        <f>IF(A268="",0,C268*D268*E268*E$261)</f>
        <v>0</v>
      </c>
      <c r="H268" s="140">
        <f>IF(A268="",0,C268*D268*F268*E$261)</f>
        <v>0</v>
      </c>
      <c r="I268" s="140">
        <f>(H268*$M$261)+H268</f>
        <v>0</v>
      </c>
      <c r="J268" s="84"/>
      <c r="K268" s="29"/>
      <c r="L268" s="122"/>
      <c r="M268" s="122"/>
    </row>
    <row r="269" spans="1:13" s="132" customFormat="1" ht="12" customHeight="1" x14ac:dyDescent="0.3">
      <c r="A269" s="137"/>
      <c r="B269" s="71" t="str">
        <f>IF(A269="","",VLOOKUP(A269,'Database Lab+Equip'!$A:$D,2,FALSE))</f>
        <v/>
      </c>
      <c r="C269" s="142"/>
      <c r="D269" s="269"/>
      <c r="E269" s="140">
        <f>IF(A269="",0,VLOOKUP(A269,'Database Lab+Equip'!$A:$D,3,FALSE))</f>
        <v>0</v>
      </c>
      <c r="F269" s="140">
        <f>IF(A269="",0,VLOOKUP(A269,'Database Lab+Equip'!$A:$D,4,FALSE))</f>
        <v>0</v>
      </c>
      <c r="G269" s="140">
        <f>IF(A269="",0,C269*D269*E269*E$261)</f>
        <v>0</v>
      </c>
      <c r="H269" s="140">
        <f>IF(A269="",0,C269*D269*F269*E$261)</f>
        <v>0</v>
      </c>
      <c r="I269" s="140">
        <f>(H269*$M$261)+H269</f>
        <v>0</v>
      </c>
      <c r="J269" s="152" t="s">
        <v>108</v>
      </c>
      <c r="K269" s="153" t="s">
        <v>109</v>
      </c>
      <c r="L269" s="31"/>
      <c r="M269" s="123">
        <f>SUM(I265:I269)-SUM(G265:G269)</f>
        <v>10462.199999999997</v>
      </c>
    </row>
    <row r="270" spans="1:13" s="132" customFormat="1" ht="12" customHeight="1" x14ac:dyDescent="0.3">
      <c r="A270" s="35"/>
      <c r="C270" s="140"/>
      <c r="D270" s="270"/>
      <c r="E270" s="140"/>
      <c r="F270" s="140"/>
      <c r="G270" s="21">
        <f>SUM(G265:G269)</f>
        <v>22260</v>
      </c>
      <c r="H270" s="21">
        <f>SUM(H265:H269)</f>
        <v>31163.999999999993</v>
      </c>
      <c r="I270" s="21">
        <f>SUM(I265:I269)</f>
        <v>32722.199999999997</v>
      </c>
      <c r="J270" s="21">
        <f>G270</f>
        <v>22260</v>
      </c>
      <c r="K270" s="34">
        <f>I270</f>
        <v>32722.199999999997</v>
      </c>
      <c r="L270" s="247">
        <f>IF(J270=0,0,(K270-J270)/J270)</f>
        <v>0.46999999999999986</v>
      </c>
      <c r="M270" s="122"/>
    </row>
    <row r="271" spans="1:13" s="132" customFormat="1" ht="12" customHeight="1" x14ac:dyDescent="0.3">
      <c r="A271" s="35"/>
      <c r="B271" s="71"/>
      <c r="C271" s="122"/>
      <c r="D271" s="265"/>
      <c r="E271" s="122"/>
      <c r="F271" s="122"/>
      <c r="G271" s="122"/>
      <c r="H271" s="122"/>
      <c r="I271" s="144"/>
      <c r="J271" s="84"/>
      <c r="K271" s="29"/>
      <c r="L271" s="122"/>
      <c r="M271" s="122"/>
    </row>
    <row r="272" spans="1:13" s="132" customFormat="1" ht="41.4" x14ac:dyDescent="0.3">
      <c r="A272" s="246" t="s">
        <v>96</v>
      </c>
      <c r="B272" s="246" t="s">
        <v>80</v>
      </c>
      <c r="C272" s="48" t="s">
        <v>47</v>
      </c>
      <c r="D272" s="135" t="s">
        <v>110</v>
      </c>
      <c r="E272" s="48" t="s">
        <v>98</v>
      </c>
      <c r="F272" s="48" t="s">
        <v>99</v>
      </c>
      <c r="G272" s="48" t="s">
        <v>22</v>
      </c>
      <c r="H272" s="48" t="s">
        <v>23</v>
      </c>
      <c r="I272" s="48" t="s">
        <v>100</v>
      </c>
      <c r="J272" s="145"/>
      <c r="K272" s="48"/>
      <c r="L272" s="124"/>
      <c r="M272" s="124"/>
    </row>
    <row r="273" spans="1:13" s="132" customFormat="1" ht="12" customHeight="1" x14ac:dyDescent="0.3">
      <c r="A273" s="148" t="s">
        <v>120</v>
      </c>
      <c r="B273" s="71" t="str">
        <f>IF(A273="","",VLOOKUP(A273,'Database Lab+Equip'!$F:$I,2,FALSE))</f>
        <v>WA320</v>
      </c>
      <c r="C273" s="139">
        <v>1</v>
      </c>
      <c r="D273" s="271">
        <v>1</v>
      </c>
      <c r="E273" s="140">
        <f>IF(A273="",0,VLOOKUP(A273,'Database Lab+Equip'!$F:$I,3,FALSE))</f>
        <v>400</v>
      </c>
      <c r="F273" s="140">
        <f>IF(A273="",0,VLOOKUP(A273,'Database Lab+Equip'!$F:$I,4,FALSE))</f>
        <v>720</v>
      </c>
      <c r="G273" s="140">
        <f>IF(A273="",0,C273*D273*E273*E$261)</f>
        <v>2800</v>
      </c>
      <c r="H273" s="140">
        <f>IF(A273="",0,C273*D273*F273*E$261)</f>
        <v>5040</v>
      </c>
      <c r="I273" s="140">
        <f>(H273*$M$262)+H273</f>
        <v>5292</v>
      </c>
      <c r="J273" s="84"/>
      <c r="K273" s="29"/>
      <c r="L273" s="122"/>
      <c r="M273" s="84"/>
    </row>
    <row r="274" spans="1:13" s="132" customFormat="1" ht="12" customHeight="1" x14ac:dyDescent="0.3">
      <c r="A274" s="148" t="s">
        <v>116</v>
      </c>
      <c r="B274" s="71" t="str">
        <f>IF(A274="","",VLOOKUP(A274,'Database Lab+Equip'!$F:$I,2,FALSE))</f>
        <v>Hand tools</v>
      </c>
      <c r="C274" s="142">
        <v>1</v>
      </c>
      <c r="D274" s="272">
        <v>1</v>
      </c>
      <c r="E274" s="140">
        <f>IF(A274="",0,VLOOKUP(A274,'Database Lab+Equip'!$F:$I,3,FALSE))</f>
        <v>85</v>
      </c>
      <c r="F274" s="140">
        <f>IF(A274="",0,VLOOKUP(A274,'Database Lab+Equip'!$F:$I,4,FALSE))</f>
        <v>153</v>
      </c>
      <c r="G274" s="140">
        <f t="shared" ref="G274:G280" si="27">IF(A274="",0,C274*D274*E274*E$261)</f>
        <v>595</v>
      </c>
      <c r="H274" s="140">
        <f t="shared" ref="H274:H280" si="28">IF(A274="",0,C274*D274*F274*E$261)</f>
        <v>1071</v>
      </c>
      <c r="I274" s="140">
        <f t="shared" ref="I274:I280" si="29">(H274*$M$262)+H274</f>
        <v>1124.55</v>
      </c>
      <c r="J274" s="122"/>
      <c r="K274" s="29"/>
      <c r="L274" s="122"/>
      <c r="M274" s="122"/>
    </row>
    <row r="275" spans="1:13" s="132" customFormat="1" ht="12" customHeight="1" x14ac:dyDescent="0.3">
      <c r="A275" s="148"/>
      <c r="B275" s="71" t="str">
        <f>IF(A275="","",VLOOKUP(A275,'Database Lab+Equip'!$F:$I,2,FALSE))</f>
        <v/>
      </c>
      <c r="C275" s="142"/>
      <c r="D275" s="272"/>
      <c r="E275" s="140">
        <f>IF(A275="",0,VLOOKUP(A275,'Database Lab+Equip'!$F:$I,3,FALSE))</f>
        <v>0</v>
      </c>
      <c r="F275" s="140">
        <f>IF(A275="",0,VLOOKUP(A275,'Database Lab+Equip'!$F:$I,4,FALSE))</f>
        <v>0</v>
      </c>
      <c r="G275" s="140">
        <f t="shared" si="27"/>
        <v>0</v>
      </c>
      <c r="H275" s="140">
        <f t="shared" si="28"/>
        <v>0</v>
      </c>
      <c r="I275" s="140">
        <f t="shared" si="29"/>
        <v>0</v>
      </c>
      <c r="J275" s="84"/>
      <c r="K275" s="29"/>
      <c r="L275" s="122"/>
      <c r="M275" s="122"/>
    </row>
    <row r="276" spans="1:13" s="132" customFormat="1" ht="12" customHeight="1" x14ac:dyDescent="0.3">
      <c r="A276" s="148"/>
      <c r="B276" s="71" t="str">
        <f>IF(A276="","",VLOOKUP(A276,'Database Lab+Equip'!$F:$I,2,FALSE))</f>
        <v/>
      </c>
      <c r="C276" s="142"/>
      <c r="D276" s="272"/>
      <c r="E276" s="140">
        <f>IF(A276="",0,VLOOKUP(A276,'Database Lab+Equip'!$F:$I,3,FALSE))</f>
        <v>0</v>
      </c>
      <c r="F276" s="140">
        <f>IF(A276="",0,VLOOKUP(A276,'Database Lab+Equip'!$F:$I,4,FALSE))</f>
        <v>0</v>
      </c>
      <c r="G276" s="140">
        <f t="shared" si="27"/>
        <v>0</v>
      </c>
      <c r="H276" s="140">
        <f t="shared" si="28"/>
        <v>0</v>
      </c>
      <c r="I276" s="140">
        <f t="shared" si="29"/>
        <v>0</v>
      </c>
      <c r="J276" s="84"/>
      <c r="K276" s="29"/>
      <c r="L276" s="122"/>
      <c r="M276" s="122"/>
    </row>
    <row r="277" spans="1:13" s="132" customFormat="1" ht="12" customHeight="1" x14ac:dyDescent="0.3">
      <c r="A277" s="148"/>
      <c r="B277" s="71" t="str">
        <f>IF(A277="","",VLOOKUP(A277,'Database Lab+Equip'!$F:$I,2,FALSE))</f>
        <v/>
      </c>
      <c r="C277" s="142"/>
      <c r="D277" s="272"/>
      <c r="E277" s="140">
        <f>IF(A277="",0,VLOOKUP(A277,'Database Lab+Equip'!$F:$I,3,FALSE))</f>
        <v>0</v>
      </c>
      <c r="F277" s="140">
        <f>IF(A277="",0,VLOOKUP(A277,'Database Lab+Equip'!$F:$I,4,FALSE))</f>
        <v>0</v>
      </c>
      <c r="G277" s="140">
        <f t="shared" si="27"/>
        <v>0</v>
      </c>
      <c r="H277" s="140">
        <f t="shared" si="28"/>
        <v>0</v>
      </c>
      <c r="I277" s="140">
        <f t="shared" si="29"/>
        <v>0</v>
      </c>
      <c r="J277" s="84"/>
      <c r="K277" s="29"/>
      <c r="L277" s="122"/>
      <c r="M277" s="122"/>
    </row>
    <row r="278" spans="1:13" s="132" customFormat="1" ht="12" customHeight="1" x14ac:dyDescent="0.3">
      <c r="A278" s="148"/>
      <c r="B278" s="71" t="str">
        <f>IF(A278="","",VLOOKUP(A278,'Database Lab+Equip'!$F:$I,2,FALSE))</f>
        <v/>
      </c>
      <c r="C278" s="142"/>
      <c r="D278" s="272"/>
      <c r="E278" s="140">
        <f>IF(A278="",0,VLOOKUP(A278,'Database Lab+Equip'!$F:$I,3,FALSE))</f>
        <v>0</v>
      </c>
      <c r="F278" s="140">
        <f>IF(A278="",0,VLOOKUP(A278,'Database Lab+Equip'!$F:$I,4,FALSE))</f>
        <v>0</v>
      </c>
      <c r="G278" s="140">
        <f t="shared" si="27"/>
        <v>0</v>
      </c>
      <c r="H278" s="140">
        <f t="shared" si="28"/>
        <v>0</v>
      </c>
      <c r="I278" s="140">
        <f t="shared" si="29"/>
        <v>0</v>
      </c>
      <c r="J278" s="84"/>
      <c r="K278" s="29"/>
      <c r="L278" s="122"/>
      <c r="M278" s="122"/>
    </row>
    <row r="279" spans="1:13" s="132" customFormat="1" ht="12" customHeight="1" x14ac:dyDescent="0.3">
      <c r="A279" s="148"/>
      <c r="B279" s="71" t="str">
        <f>IF(A279="","",VLOOKUP(A279,'Database Lab+Equip'!$F:$I,2,FALSE))</f>
        <v/>
      </c>
      <c r="C279" s="150"/>
      <c r="D279" s="273"/>
      <c r="E279" s="140">
        <f>IF(A279="",0,VLOOKUP(A279,'Database Lab+Equip'!$F:$I,3,FALSE))</f>
        <v>0</v>
      </c>
      <c r="F279" s="140">
        <f>IF(A279="",0,VLOOKUP(A279,'Database Lab+Equip'!$F:$I,4,FALSE))</f>
        <v>0</v>
      </c>
      <c r="G279" s="140">
        <f t="shared" si="27"/>
        <v>0</v>
      </c>
      <c r="H279" s="140">
        <f t="shared" si="28"/>
        <v>0</v>
      </c>
      <c r="I279" s="140">
        <f t="shared" si="29"/>
        <v>0</v>
      </c>
      <c r="J279" s="84"/>
      <c r="K279" s="29"/>
      <c r="L279" s="122"/>
      <c r="M279" s="122"/>
    </row>
    <row r="280" spans="1:13" s="132" customFormat="1" ht="12" customHeight="1" x14ac:dyDescent="0.3">
      <c r="A280" s="148"/>
      <c r="B280" s="71" t="str">
        <f>IF(A280="","",VLOOKUP(A280,'Database Lab+Equip'!$F:$I,2,FALSE))</f>
        <v/>
      </c>
      <c r="C280" s="150"/>
      <c r="D280" s="273"/>
      <c r="E280" s="140">
        <f>IF(A280="",0,VLOOKUP(A280,'Database Lab+Equip'!$F:$I,3,FALSE))</f>
        <v>0</v>
      </c>
      <c r="F280" s="140">
        <f>IF(A280="",0,VLOOKUP(A280,'Database Lab+Equip'!$F:$I,4,FALSE))</f>
        <v>0</v>
      </c>
      <c r="G280" s="140">
        <f t="shared" si="27"/>
        <v>0</v>
      </c>
      <c r="H280" s="140">
        <f t="shared" si="28"/>
        <v>0</v>
      </c>
      <c r="I280" s="140">
        <f t="shared" si="29"/>
        <v>0</v>
      </c>
      <c r="J280" s="152" t="s">
        <v>108</v>
      </c>
      <c r="K280" s="153" t="s">
        <v>109</v>
      </c>
      <c r="L280" s="31"/>
      <c r="M280" s="125">
        <f>SUM(I273:I280)-SUM(G273:G280)</f>
        <v>3021.55</v>
      </c>
    </row>
    <row r="281" spans="1:13" s="132" customFormat="1" ht="12" customHeight="1" x14ac:dyDescent="0.3">
      <c r="A281" s="72"/>
      <c r="B281" s="71"/>
      <c r="D281" s="265"/>
      <c r="E281" s="122"/>
      <c r="F281" s="122"/>
      <c r="G281" s="21">
        <f>SUM(G273:G280)</f>
        <v>3395</v>
      </c>
      <c r="H281" s="21">
        <f>SUM(H273:H280)</f>
        <v>6111</v>
      </c>
      <c r="I281" s="21">
        <f>SUM(I273:I280)</f>
        <v>6416.55</v>
      </c>
      <c r="J281" s="21">
        <f>G281</f>
        <v>3395</v>
      </c>
      <c r="K281" s="34">
        <f>I281</f>
        <v>6416.55</v>
      </c>
      <c r="L281" s="256">
        <f>IF(J281=0,0,(K281-J281)/J281)</f>
        <v>0.89</v>
      </c>
      <c r="M281" s="187">
        <f>M269+M280</f>
        <v>13483.749999999996</v>
      </c>
    </row>
    <row r="282" spans="1:13" s="31" customFormat="1" ht="13.8" x14ac:dyDescent="0.3">
      <c r="A282" s="110"/>
      <c r="B282" s="257"/>
      <c r="C282" s="258"/>
      <c r="D282" s="274"/>
      <c r="E282" s="117"/>
      <c r="F282" s="117"/>
      <c r="G282" s="118"/>
      <c r="H282" s="110"/>
      <c r="I282" s="161"/>
      <c r="J282" s="162">
        <f>J270+J281</f>
        <v>25655</v>
      </c>
      <c r="K282" s="162">
        <f>K270+K281</f>
        <v>39138.75</v>
      </c>
      <c r="L282" s="259">
        <f>IF(J282=0,0,(K282-J282)/K282)</f>
        <v>0.34451151352559806</v>
      </c>
      <c r="M282" s="173"/>
    </row>
    <row r="283" spans="1:13" s="31" customFormat="1" ht="13.8" x14ac:dyDescent="0.3">
      <c r="A283" s="112"/>
      <c r="B283" s="251"/>
      <c r="C283" s="252"/>
      <c r="D283" s="275"/>
      <c r="E283" s="215"/>
      <c r="F283" s="215"/>
      <c r="G283" s="216"/>
      <c r="H283" s="112"/>
      <c r="I283" s="217"/>
      <c r="J283" s="218"/>
      <c r="K283" s="218"/>
      <c r="L283" s="254"/>
      <c r="M283" s="213"/>
    </row>
    <row r="284" spans="1:13" ht="15.6" x14ac:dyDescent="0.3">
      <c r="B284" s="344" t="s">
        <v>377</v>
      </c>
      <c r="C284" s="239"/>
      <c r="D284" s="42"/>
      <c r="E284" s="239"/>
      <c r="F284" s="255"/>
      <c r="H284" s="132"/>
      <c r="I284" s="132"/>
      <c r="L284" s="93" t="s">
        <v>85</v>
      </c>
      <c r="M284" s="94"/>
    </row>
    <row r="285" spans="1:13" s="132" customFormat="1" ht="12" customHeight="1" x14ac:dyDescent="0.3">
      <c r="B285" s="59" t="s">
        <v>135</v>
      </c>
      <c r="C285" s="242">
        <v>3200</v>
      </c>
      <c r="D285" s="266" t="s">
        <v>87</v>
      </c>
      <c r="E285" s="23">
        <v>560</v>
      </c>
      <c r="F285" s="133"/>
      <c r="H285" s="14"/>
      <c r="I285" s="14"/>
      <c r="J285" s="121"/>
      <c r="K285" s="121"/>
      <c r="L285" s="126" t="s">
        <v>88</v>
      </c>
      <c r="M285" s="243"/>
    </row>
    <row r="286" spans="1:13" s="132" customFormat="1" ht="12" customHeight="1" x14ac:dyDescent="0.3">
      <c r="B286" s="59" t="s">
        <v>141</v>
      </c>
      <c r="C286" s="25">
        <v>1</v>
      </c>
      <c r="D286" s="266" t="s">
        <v>89</v>
      </c>
      <c r="E286" s="23">
        <v>10</v>
      </c>
      <c r="J286" s="122"/>
      <c r="K286" s="121"/>
      <c r="L286" s="126" t="s">
        <v>90</v>
      </c>
      <c r="M286" s="243"/>
    </row>
    <row r="287" spans="1:13" s="132" customFormat="1" ht="12" customHeight="1" x14ac:dyDescent="0.3">
      <c r="B287" s="59" t="s">
        <v>142</v>
      </c>
      <c r="C287" s="27">
        <f>IF(C285="","",C285/E287+C286)</f>
        <v>161</v>
      </c>
      <c r="D287" s="266" t="s">
        <v>91</v>
      </c>
      <c r="E287" s="23">
        <v>20</v>
      </c>
      <c r="I287" s="26"/>
      <c r="J287" s="29"/>
      <c r="K287" s="121"/>
      <c r="L287" s="126" t="s">
        <v>92</v>
      </c>
      <c r="M287" s="243"/>
    </row>
    <row r="288" spans="1:13" s="132" customFormat="1" ht="12" customHeight="1" x14ac:dyDescent="0.3">
      <c r="B288" s="59" t="s">
        <v>143</v>
      </c>
      <c r="C288" s="25">
        <v>3</v>
      </c>
      <c r="D288" s="266" t="s">
        <v>25</v>
      </c>
      <c r="E288" s="128">
        <f>SUM(C293:C297)</f>
        <v>3</v>
      </c>
      <c r="I288" s="26"/>
      <c r="J288" s="29"/>
      <c r="K288" s="121"/>
      <c r="L288" s="93" t="s">
        <v>94</v>
      </c>
      <c r="M288" s="94"/>
    </row>
    <row r="289" spans="1:13" s="132" customFormat="1" ht="12" customHeight="1" x14ac:dyDescent="0.3">
      <c r="B289" s="59" t="s">
        <v>144</v>
      </c>
      <c r="C289" s="25">
        <v>10</v>
      </c>
      <c r="D289" s="266" t="s">
        <v>44</v>
      </c>
      <c r="E289" s="244">
        <v>6</v>
      </c>
      <c r="I289" s="26"/>
      <c r="J289" s="29"/>
      <c r="K289" s="121"/>
      <c r="L289" s="57" t="s">
        <v>70</v>
      </c>
      <c r="M289" s="58">
        <f>M9</f>
        <v>0.05</v>
      </c>
    </row>
    <row r="290" spans="1:13" s="132" customFormat="1" ht="12" customHeight="1" x14ac:dyDescent="0.3">
      <c r="B290" s="28"/>
      <c r="C290" s="122"/>
      <c r="D290" s="267"/>
      <c r="E290" s="211"/>
      <c r="I290" s="26"/>
      <c r="J290" s="29"/>
      <c r="K290" s="121"/>
      <c r="L290" s="57" t="s">
        <v>80</v>
      </c>
      <c r="M290" s="58">
        <f>M10</f>
        <v>0.05</v>
      </c>
    </row>
    <row r="291" spans="1:13" s="132" customFormat="1" ht="12" customHeight="1" x14ac:dyDescent="0.3">
      <c r="B291" s="28"/>
      <c r="C291" s="28"/>
      <c r="D291" s="43"/>
      <c r="H291" s="29"/>
      <c r="I291" s="29"/>
      <c r="J291" s="29"/>
      <c r="K291" s="29"/>
      <c r="L291" s="122"/>
      <c r="M291" s="122"/>
    </row>
    <row r="292" spans="1:13" s="132" customFormat="1" ht="27.6" x14ac:dyDescent="0.3">
      <c r="A292" s="246" t="s">
        <v>145</v>
      </c>
      <c r="B292" s="246" t="s">
        <v>70</v>
      </c>
      <c r="C292" s="48" t="s">
        <v>47</v>
      </c>
      <c r="D292" s="135" t="s">
        <v>97</v>
      </c>
      <c r="E292" s="48" t="s">
        <v>98</v>
      </c>
      <c r="F292" s="48" t="s">
        <v>99</v>
      </c>
      <c r="G292" s="48" t="s">
        <v>22</v>
      </c>
      <c r="H292" s="48" t="s">
        <v>23</v>
      </c>
      <c r="I292" s="48" t="s">
        <v>100</v>
      </c>
      <c r="J292" s="124"/>
      <c r="K292" s="48"/>
      <c r="L292" s="48" t="s">
        <v>101</v>
      </c>
      <c r="M292" s="48" t="s">
        <v>0</v>
      </c>
    </row>
    <row r="293" spans="1:13" s="132" customFormat="1" ht="12" customHeight="1" x14ac:dyDescent="0.3">
      <c r="A293" s="137" t="s">
        <v>103</v>
      </c>
      <c r="B293" s="71" t="str">
        <f>IF(A293="","",VLOOKUP(A293,'Database Lab+Equip'!$A:$D,2,FALSE))</f>
        <v>Polywelder</v>
      </c>
      <c r="C293" s="142">
        <v>2</v>
      </c>
      <c r="D293" s="269">
        <v>12</v>
      </c>
      <c r="E293" s="140">
        <f>IF(A293="",0,VLOOKUP(A293,'Database Lab+Equip'!$A:$D,3,FALSE))</f>
        <v>90</v>
      </c>
      <c r="F293" s="140">
        <f>IF(A293="",0,VLOOKUP(A293,'Database Lab+Equip'!$A:$D,4,FALSE))</f>
        <v>125.99999999999999</v>
      </c>
      <c r="G293" s="140">
        <f>IF(A293="",0,C293*D293*E293*E$289)</f>
        <v>12960</v>
      </c>
      <c r="H293" s="140">
        <f>IF(A293="",0,C293*D293*F293*E$289)</f>
        <v>18143.999999999996</v>
      </c>
      <c r="I293" s="140">
        <f>(H293*$M$289)+H293</f>
        <v>19051.199999999997</v>
      </c>
      <c r="J293" s="84"/>
      <c r="K293" s="29"/>
      <c r="L293" s="122"/>
      <c r="M293" s="84"/>
    </row>
    <row r="294" spans="1:13" s="132" customFormat="1" ht="12" customHeight="1" x14ac:dyDescent="0.3">
      <c r="A294" s="137" t="s">
        <v>105</v>
      </c>
      <c r="B294" s="71" t="str">
        <f>IF(A294="","",VLOOKUP(A294,'Database Lab+Equip'!$A:$D,2,FALSE))</f>
        <v>Operator</v>
      </c>
      <c r="C294" s="142">
        <v>1</v>
      </c>
      <c r="D294" s="269">
        <v>12</v>
      </c>
      <c r="E294" s="140">
        <f>IF(A294="",0,VLOOKUP(A294,'Database Lab+Equip'!$A:$D,3,FALSE))</f>
        <v>90</v>
      </c>
      <c r="F294" s="140">
        <f>IF(A294="",0,VLOOKUP(A294,'Database Lab+Equip'!$A:$D,4,FALSE))</f>
        <v>125.99999999999999</v>
      </c>
      <c r="G294" s="140">
        <f>IF(A294="",0,C294*D294*E294*E$289)</f>
        <v>6480</v>
      </c>
      <c r="H294" s="140">
        <f>IF(A294="",0,C294*D294*F294*E$289)</f>
        <v>9071.9999999999982</v>
      </c>
      <c r="I294" s="140">
        <f>(H294*$M$289)+H294</f>
        <v>9525.5999999999985</v>
      </c>
      <c r="J294" s="84"/>
      <c r="K294" s="29"/>
      <c r="L294" s="122"/>
      <c r="M294" s="122"/>
    </row>
    <row r="295" spans="1:13" s="132" customFormat="1" ht="12" customHeight="1" x14ac:dyDescent="0.3">
      <c r="A295" s="137"/>
      <c r="B295" s="71" t="str">
        <f>IF(A295="","",VLOOKUP(A295,'Database Lab+Equip'!$A:$D,2,FALSE))</f>
        <v/>
      </c>
      <c r="C295" s="142"/>
      <c r="D295" s="269"/>
      <c r="E295" s="140">
        <f>IF(A295="",0,VLOOKUP(A295,'Database Lab+Equip'!$A:$D,3,FALSE))</f>
        <v>0</v>
      </c>
      <c r="F295" s="140">
        <f>IF(A295="",0,VLOOKUP(A295,'Database Lab+Equip'!$A:$D,4,FALSE))</f>
        <v>0</v>
      </c>
      <c r="G295" s="140">
        <f>IF(A295="",0,C295*D295*E295*E$289)</f>
        <v>0</v>
      </c>
      <c r="H295" s="140">
        <f>IF(A295="",0,C295*D295*F295*E$289)</f>
        <v>0</v>
      </c>
      <c r="I295" s="140">
        <f>(H295*$M$289)+H295</f>
        <v>0</v>
      </c>
      <c r="J295" s="84"/>
      <c r="K295" s="29"/>
      <c r="L295" s="122"/>
      <c r="M295" s="122"/>
    </row>
    <row r="296" spans="1:13" s="132" customFormat="1" ht="12" customHeight="1" x14ac:dyDescent="0.3">
      <c r="A296" s="137"/>
      <c r="B296" s="71" t="str">
        <f>IF(A296="","",VLOOKUP(A296,'Database Lab+Equip'!$A:$D,2,FALSE))</f>
        <v/>
      </c>
      <c r="C296" s="142"/>
      <c r="D296" s="269"/>
      <c r="E296" s="140">
        <f>IF(A296="",0,VLOOKUP(A296,'Database Lab+Equip'!$A:$D,3,FALSE))</f>
        <v>0</v>
      </c>
      <c r="F296" s="140">
        <f>IF(A296="",0,VLOOKUP(A296,'Database Lab+Equip'!$A:$D,4,FALSE))</f>
        <v>0</v>
      </c>
      <c r="G296" s="140">
        <f>IF(A296="",0,C296*D296*E296*E$289)</f>
        <v>0</v>
      </c>
      <c r="H296" s="140">
        <f>IF(A296="",0,C296*D296*F296*E$289)</f>
        <v>0</v>
      </c>
      <c r="I296" s="140">
        <f>(H296*$M$289)+H296</f>
        <v>0</v>
      </c>
      <c r="J296" s="84"/>
      <c r="K296" s="29"/>
      <c r="L296" s="122"/>
      <c r="M296" s="122"/>
    </row>
    <row r="297" spans="1:13" s="132" customFormat="1" ht="12" customHeight="1" x14ac:dyDescent="0.3">
      <c r="A297" s="137"/>
      <c r="B297" s="71" t="str">
        <f>IF(A297="","",VLOOKUP(A297,'Database Lab+Equip'!$A:$D,2,FALSE))</f>
        <v/>
      </c>
      <c r="C297" s="142"/>
      <c r="D297" s="269"/>
      <c r="E297" s="140">
        <f>IF(A297="",0,VLOOKUP(A297,'Database Lab+Equip'!$A:$D,3,FALSE))</f>
        <v>0</v>
      </c>
      <c r="F297" s="140">
        <f>IF(A297="",0,VLOOKUP(A297,'Database Lab+Equip'!$A:$D,4,FALSE))</f>
        <v>0</v>
      </c>
      <c r="G297" s="140">
        <f>IF(A297="",0,C297*D297*E297*E$289)</f>
        <v>0</v>
      </c>
      <c r="H297" s="140">
        <f>IF(A297="",0,C297*D297*F297*E$289)</f>
        <v>0</v>
      </c>
      <c r="I297" s="140">
        <f>(H297*$M$289)+H297</f>
        <v>0</v>
      </c>
      <c r="J297" s="152" t="s">
        <v>108</v>
      </c>
      <c r="K297" s="153" t="s">
        <v>109</v>
      </c>
      <c r="L297" s="31"/>
      <c r="M297" s="123">
        <f>SUM(I293:I297)-SUM(G293:G297)</f>
        <v>9136.7999999999956</v>
      </c>
    </row>
    <row r="298" spans="1:13" s="132" customFormat="1" ht="12" customHeight="1" x14ac:dyDescent="0.3">
      <c r="A298" s="35"/>
      <c r="C298" s="140"/>
      <c r="D298" s="270"/>
      <c r="E298" s="140"/>
      <c r="F298" s="140"/>
      <c r="G298" s="21">
        <f>SUM(G293:G297)</f>
        <v>19440</v>
      </c>
      <c r="H298" s="21">
        <f>SUM(H293:H297)</f>
        <v>27215.999999999993</v>
      </c>
      <c r="I298" s="21">
        <f>SUM(I293:I297)</f>
        <v>28576.799999999996</v>
      </c>
      <c r="J298" s="21">
        <f>G298</f>
        <v>19440</v>
      </c>
      <c r="K298" s="34">
        <f>I298</f>
        <v>28576.799999999996</v>
      </c>
      <c r="L298" s="247">
        <f>IF(J298=0,0,(K298-J298)/J298)</f>
        <v>0.46999999999999975</v>
      </c>
      <c r="M298" s="122"/>
    </row>
    <row r="299" spans="1:13" s="132" customFormat="1" ht="12" customHeight="1" x14ac:dyDescent="0.3">
      <c r="A299" s="35"/>
      <c r="B299" s="71"/>
      <c r="C299" s="122"/>
      <c r="D299" s="265"/>
      <c r="E299" s="122"/>
      <c r="F299" s="122"/>
      <c r="G299" s="122"/>
      <c r="H299" s="122"/>
      <c r="I299" s="144"/>
      <c r="J299" s="84"/>
      <c r="K299" s="29"/>
      <c r="L299" s="122"/>
      <c r="M299" s="122"/>
    </row>
    <row r="300" spans="1:13" s="132" customFormat="1" ht="41.4" x14ac:dyDescent="0.3">
      <c r="A300" s="246" t="s">
        <v>96</v>
      </c>
      <c r="B300" s="246" t="s">
        <v>80</v>
      </c>
      <c r="C300" s="48" t="s">
        <v>47</v>
      </c>
      <c r="D300" s="135" t="s">
        <v>110</v>
      </c>
      <c r="E300" s="48" t="s">
        <v>98</v>
      </c>
      <c r="F300" s="48" t="s">
        <v>99</v>
      </c>
      <c r="G300" s="48" t="s">
        <v>22</v>
      </c>
      <c r="H300" s="48" t="s">
        <v>23</v>
      </c>
      <c r="I300" s="48" t="s">
        <v>100</v>
      </c>
      <c r="J300" s="145"/>
      <c r="K300" s="48"/>
      <c r="L300" s="124"/>
      <c r="M300" s="124"/>
    </row>
    <row r="301" spans="1:13" s="132" customFormat="1" ht="12" customHeight="1" x14ac:dyDescent="0.3">
      <c r="A301" s="148" t="s">
        <v>116</v>
      </c>
      <c r="B301" s="71" t="str">
        <f>IF(A301="","",VLOOKUP(A301,'Database Lab+Equip'!$F:$I,2,FALSE))</f>
        <v>Hand tools</v>
      </c>
      <c r="C301" s="139">
        <v>1</v>
      </c>
      <c r="D301" s="271">
        <v>1</v>
      </c>
      <c r="E301" s="140">
        <f>IF(A301="",0,VLOOKUP(A301,'Database Lab+Equip'!$F:$I,3,FALSE))</f>
        <v>85</v>
      </c>
      <c r="F301" s="140">
        <f>IF(A301="",0,VLOOKUP(A301,'Database Lab+Equip'!$F:$I,4,FALSE))</f>
        <v>153</v>
      </c>
      <c r="G301" s="140">
        <f>IF(A301="",0,C301*D301*E301*E$289)</f>
        <v>510</v>
      </c>
      <c r="H301" s="140">
        <f>IF(A301="",0,C301*D301*F301*E$289)</f>
        <v>918</v>
      </c>
      <c r="I301" s="140">
        <f>(H301*$M$290)+H301</f>
        <v>963.9</v>
      </c>
      <c r="J301" s="84"/>
      <c r="K301" s="29"/>
      <c r="L301" s="122"/>
      <c r="M301" s="84"/>
    </row>
    <row r="302" spans="1:13" s="132" customFormat="1" ht="12" customHeight="1" x14ac:dyDescent="0.3">
      <c r="A302" s="148" t="s">
        <v>117</v>
      </c>
      <c r="B302" s="71" t="str">
        <f>IF(A302="","",VLOOKUP(A302,'Database Lab+Equip'!$F:$I,2,FALSE))</f>
        <v>Stihl MS-390 Chainsaw</v>
      </c>
      <c r="C302" s="142">
        <v>2</v>
      </c>
      <c r="D302" s="272">
        <v>1</v>
      </c>
      <c r="E302" s="140">
        <f>IF(A302="",0,VLOOKUP(A302,'Database Lab+Equip'!$F:$I,3,FALSE))</f>
        <v>30</v>
      </c>
      <c r="F302" s="140">
        <f>IF(A302="",0,VLOOKUP(A302,'Database Lab+Equip'!$F:$I,4,FALSE))</f>
        <v>54</v>
      </c>
      <c r="G302" s="140">
        <f t="shared" ref="G302:G308" si="30">IF(A302="",0,C302*D302*E302*E$289)</f>
        <v>360</v>
      </c>
      <c r="H302" s="140">
        <f t="shared" ref="H302:H308" si="31">IF(A302="",0,C302*D302*F302*E$289)</f>
        <v>648</v>
      </c>
      <c r="I302" s="140">
        <f t="shared" ref="I302:I308" si="32">(H302*$M$290)+H302</f>
        <v>680.4</v>
      </c>
      <c r="J302" s="122"/>
      <c r="K302" s="29"/>
      <c r="L302" s="122"/>
      <c r="M302" s="122"/>
    </row>
    <row r="303" spans="1:13" s="132" customFormat="1" ht="12" customHeight="1" x14ac:dyDescent="0.3">
      <c r="A303" s="314" t="s">
        <v>111</v>
      </c>
      <c r="B303" s="71" t="str">
        <f>IF(A303="","",VLOOKUP(A303,'Database Lab+Equip'!$F:$I,2,FALSE))</f>
        <v>Light 4WD Vehicle - D/Cab Ute</v>
      </c>
      <c r="C303" s="313">
        <v>2</v>
      </c>
      <c r="D303" s="322">
        <v>1</v>
      </c>
      <c r="E303" s="140">
        <f>IF(A303="",0,VLOOKUP(A303,'Database Lab+Equip'!$F:$I,3,FALSE))</f>
        <v>120</v>
      </c>
      <c r="F303" s="140">
        <f>IF(A303="",0,VLOOKUP(A303,'Database Lab+Equip'!$F:$I,4,FALSE))</f>
        <v>216</v>
      </c>
      <c r="G303" s="140">
        <f t="shared" si="30"/>
        <v>1440</v>
      </c>
      <c r="H303" s="140">
        <f t="shared" si="31"/>
        <v>2592</v>
      </c>
      <c r="I303" s="140">
        <f t="shared" si="32"/>
        <v>2721.6</v>
      </c>
      <c r="J303" s="84"/>
      <c r="K303" s="29"/>
      <c r="L303" s="122"/>
      <c r="M303" s="122"/>
    </row>
    <row r="304" spans="1:13" s="132" customFormat="1" ht="12" customHeight="1" x14ac:dyDescent="0.3">
      <c r="A304" s="314" t="s">
        <v>115</v>
      </c>
      <c r="B304" s="71" t="str">
        <f>IF(A304="","",VLOOKUP(A304,'Database Lab+Equip'!$F:$I,2,FALSE))</f>
        <v>TracStar 900 Polywelding Machine c/w dies</v>
      </c>
      <c r="C304" s="313">
        <v>2</v>
      </c>
      <c r="D304" s="322">
        <v>1</v>
      </c>
      <c r="E304" s="140">
        <f>IF(A304="",0,VLOOKUP(A304,'Database Lab+Equip'!$F:$I,3,FALSE))</f>
        <v>700</v>
      </c>
      <c r="F304" s="140">
        <f>IF(A304="",0,VLOOKUP(A304,'Database Lab+Equip'!$F:$I,4,FALSE))</f>
        <v>979.99999999999989</v>
      </c>
      <c r="G304" s="140">
        <f t="shared" si="30"/>
        <v>8400</v>
      </c>
      <c r="H304" s="140">
        <f t="shared" si="31"/>
        <v>11759.999999999998</v>
      </c>
      <c r="I304" s="140">
        <f t="shared" si="32"/>
        <v>12347.999999999998</v>
      </c>
      <c r="J304" s="84"/>
      <c r="K304" s="29"/>
      <c r="L304" s="122"/>
      <c r="M304" s="122"/>
    </row>
    <row r="305" spans="1:13" s="132" customFormat="1" ht="12" customHeight="1" x14ac:dyDescent="0.3">
      <c r="A305" s="148" t="s">
        <v>120</v>
      </c>
      <c r="B305" s="71" t="str">
        <f>IF(A305="","",VLOOKUP(A305,'Database Lab+Equip'!$F:$I,2,FALSE))</f>
        <v>WA320</v>
      </c>
      <c r="C305" s="142">
        <v>2</v>
      </c>
      <c r="D305" s="272">
        <v>1</v>
      </c>
      <c r="E305" s="140">
        <f>IF(A305="",0,VLOOKUP(A305,'Database Lab+Equip'!$F:$I,3,FALSE))</f>
        <v>400</v>
      </c>
      <c r="F305" s="140">
        <f>IF(A305="",0,VLOOKUP(A305,'Database Lab+Equip'!$F:$I,4,FALSE))</f>
        <v>720</v>
      </c>
      <c r="G305" s="140">
        <f t="shared" si="30"/>
        <v>4800</v>
      </c>
      <c r="H305" s="140">
        <f t="shared" si="31"/>
        <v>8640</v>
      </c>
      <c r="I305" s="140">
        <f t="shared" si="32"/>
        <v>9072</v>
      </c>
      <c r="J305" s="84"/>
      <c r="K305" s="29"/>
      <c r="L305" s="122"/>
      <c r="M305" s="122"/>
    </row>
    <row r="306" spans="1:13" s="132" customFormat="1" ht="12" customHeight="1" x14ac:dyDescent="0.3">
      <c r="A306" s="148"/>
      <c r="B306" s="71" t="str">
        <f>IF(A306="","",VLOOKUP(A306,'Database Lab+Equip'!$F:$I,2,FALSE))</f>
        <v/>
      </c>
      <c r="C306" s="142"/>
      <c r="D306" s="272"/>
      <c r="E306" s="140">
        <f>IF(A306="",0,VLOOKUP(A306,'Database Lab+Equip'!$F:$I,3,FALSE))</f>
        <v>0</v>
      </c>
      <c r="F306" s="140">
        <f>IF(A306="",0,VLOOKUP(A306,'Database Lab+Equip'!$F:$I,4,FALSE))</f>
        <v>0</v>
      </c>
      <c r="G306" s="140">
        <f t="shared" si="30"/>
        <v>0</v>
      </c>
      <c r="H306" s="140">
        <f t="shared" si="31"/>
        <v>0</v>
      </c>
      <c r="I306" s="140">
        <f t="shared" si="32"/>
        <v>0</v>
      </c>
      <c r="J306" s="84"/>
      <c r="K306" s="29"/>
      <c r="L306" s="122"/>
      <c r="M306" s="122"/>
    </row>
    <row r="307" spans="1:13" s="132" customFormat="1" ht="12" customHeight="1" x14ac:dyDescent="0.3">
      <c r="A307" s="148"/>
      <c r="B307" s="71" t="str">
        <f>IF(A307="","",VLOOKUP(A307,'Database Lab+Equip'!$F:$I,2,FALSE))</f>
        <v/>
      </c>
      <c r="C307" s="150"/>
      <c r="D307" s="273"/>
      <c r="E307" s="140">
        <f>IF(A307="",0,VLOOKUP(A307,'Database Lab+Equip'!$F:$I,3,FALSE))</f>
        <v>0</v>
      </c>
      <c r="F307" s="140">
        <f>IF(A307="",0,VLOOKUP(A307,'Database Lab+Equip'!$F:$I,4,FALSE))</f>
        <v>0</v>
      </c>
      <c r="G307" s="140">
        <f t="shared" si="30"/>
        <v>0</v>
      </c>
      <c r="H307" s="140">
        <f t="shared" si="31"/>
        <v>0</v>
      </c>
      <c r="I307" s="140">
        <f t="shared" si="32"/>
        <v>0</v>
      </c>
      <c r="J307" s="84"/>
      <c r="K307" s="29"/>
      <c r="L307" s="122"/>
      <c r="M307" s="122"/>
    </row>
    <row r="308" spans="1:13" s="132" customFormat="1" ht="12" customHeight="1" x14ac:dyDescent="0.3">
      <c r="A308" s="148"/>
      <c r="B308" s="71" t="str">
        <f>IF(A308="","",VLOOKUP(A308,'Database Lab+Equip'!$F:$I,2,FALSE))</f>
        <v/>
      </c>
      <c r="C308" s="150"/>
      <c r="D308" s="273"/>
      <c r="E308" s="140">
        <f>IF(A308="",0,VLOOKUP(A308,'Database Lab+Equip'!$F:$I,3,FALSE))</f>
        <v>0</v>
      </c>
      <c r="F308" s="140">
        <f>IF(A308="",0,VLOOKUP(A308,'Database Lab+Equip'!$F:$I,4,FALSE))</f>
        <v>0</v>
      </c>
      <c r="G308" s="140">
        <f t="shared" si="30"/>
        <v>0</v>
      </c>
      <c r="H308" s="140">
        <f t="shared" si="31"/>
        <v>0</v>
      </c>
      <c r="I308" s="140">
        <f t="shared" si="32"/>
        <v>0</v>
      </c>
      <c r="J308" s="152" t="s">
        <v>108</v>
      </c>
      <c r="K308" s="153" t="s">
        <v>109</v>
      </c>
      <c r="L308" s="31"/>
      <c r="M308" s="125">
        <f>SUM(I301:I308)-SUM(G301:G308)</f>
        <v>10275.899999999998</v>
      </c>
    </row>
    <row r="309" spans="1:13" s="132" customFormat="1" ht="12" customHeight="1" x14ac:dyDescent="0.3">
      <c r="A309" s="72"/>
      <c r="B309" s="71"/>
      <c r="D309" s="265"/>
      <c r="E309" s="122"/>
      <c r="F309" s="122"/>
      <c r="G309" s="21">
        <f>SUM(G301:G308)</f>
        <v>15510</v>
      </c>
      <c r="H309" s="21">
        <f>SUM(H301:H308)</f>
        <v>24558</v>
      </c>
      <c r="I309" s="21">
        <f>SUM(I301:I308)</f>
        <v>25785.899999999998</v>
      </c>
      <c r="J309" s="21">
        <f>G309</f>
        <v>15510</v>
      </c>
      <c r="K309" s="34">
        <f>I309</f>
        <v>25785.899999999998</v>
      </c>
      <c r="L309" s="256">
        <f>IF(J309=0,0,(K309-J309)/J309)</f>
        <v>0.66253384912959368</v>
      </c>
      <c r="M309" s="187">
        <f>M297+M308</f>
        <v>19412.699999999993</v>
      </c>
    </row>
    <row r="310" spans="1:13" s="31" customFormat="1" ht="13.8" x14ac:dyDescent="0.3">
      <c r="A310" s="110"/>
      <c r="B310" s="257"/>
      <c r="C310" s="258"/>
      <c r="D310" s="274"/>
      <c r="E310" s="117"/>
      <c r="F310" s="117"/>
      <c r="G310" s="118"/>
      <c r="H310" s="110"/>
      <c r="I310" s="161"/>
      <c r="J310" s="162">
        <f>J298+J309</f>
        <v>34950</v>
      </c>
      <c r="K310" s="162">
        <f>K298+K309</f>
        <v>54362.7</v>
      </c>
      <c r="L310" s="259">
        <f>IF(J310=0,0,(K310-J310)/K310)</f>
        <v>0.35709594998040933</v>
      </c>
      <c r="M310" s="173"/>
    </row>
    <row r="311" spans="1:13" s="31" customFormat="1" ht="13.8" x14ac:dyDescent="0.3">
      <c r="A311" s="112"/>
      <c r="B311" s="251"/>
      <c r="C311" s="252"/>
      <c r="D311" s="275"/>
      <c r="E311" s="215"/>
      <c r="F311" s="215"/>
      <c r="G311" s="216"/>
      <c r="H311" s="112"/>
      <c r="I311" s="217"/>
      <c r="J311" s="218"/>
      <c r="K311" s="218"/>
      <c r="L311" s="254"/>
      <c r="M311" s="213"/>
    </row>
    <row r="312" spans="1:13" ht="15.6" x14ac:dyDescent="0.3">
      <c r="B312" s="241" t="s">
        <v>378</v>
      </c>
      <c r="C312" s="239"/>
      <c r="D312" s="42"/>
      <c r="E312" s="239"/>
      <c r="F312" s="255"/>
      <c r="H312" s="132"/>
      <c r="I312" s="132"/>
      <c r="L312" s="93" t="s">
        <v>85</v>
      </c>
      <c r="M312" s="94"/>
    </row>
    <row r="313" spans="1:13" s="132" customFormat="1" ht="12" customHeight="1" x14ac:dyDescent="0.3">
      <c r="B313" s="59" t="s">
        <v>135</v>
      </c>
      <c r="C313" s="242"/>
      <c r="D313" s="266" t="s">
        <v>87</v>
      </c>
      <c r="E313" s="23"/>
      <c r="F313" s="133"/>
      <c r="H313" s="14"/>
      <c r="I313" s="14"/>
      <c r="J313" s="121"/>
      <c r="K313" s="121"/>
      <c r="L313" s="126" t="s">
        <v>88</v>
      </c>
      <c r="M313" s="243"/>
    </row>
    <row r="314" spans="1:13" s="132" customFormat="1" ht="12" customHeight="1" x14ac:dyDescent="0.3">
      <c r="B314" s="59" t="s">
        <v>141</v>
      </c>
      <c r="C314" s="25"/>
      <c r="D314" s="266" t="s">
        <v>89</v>
      </c>
      <c r="E314" s="23"/>
      <c r="J314" s="122"/>
      <c r="K314" s="121"/>
      <c r="L314" s="126" t="s">
        <v>90</v>
      </c>
      <c r="M314" s="243"/>
    </row>
    <row r="315" spans="1:13" s="132" customFormat="1" ht="12" customHeight="1" x14ac:dyDescent="0.3">
      <c r="B315" s="59" t="s">
        <v>142</v>
      </c>
      <c r="C315" s="27" t="str">
        <f>IF(C313="","",C313/E315+C314)</f>
        <v/>
      </c>
      <c r="D315" s="266" t="s">
        <v>91</v>
      </c>
      <c r="E315" s="23"/>
      <c r="I315" s="26"/>
      <c r="J315" s="29"/>
      <c r="K315" s="121"/>
      <c r="L315" s="126" t="s">
        <v>92</v>
      </c>
      <c r="M315" s="243"/>
    </row>
    <row r="316" spans="1:13" s="132" customFormat="1" ht="12" customHeight="1" x14ac:dyDescent="0.3">
      <c r="B316" s="59" t="s">
        <v>143</v>
      </c>
      <c r="C316" s="25"/>
      <c r="D316" s="266" t="s">
        <v>25</v>
      </c>
      <c r="E316" s="128">
        <f>SUM(C321:C325)</f>
        <v>2</v>
      </c>
      <c r="I316" s="26"/>
      <c r="J316" s="29"/>
      <c r="K316" s="121"/>
      <c r="L316" s="93" t="s">
        <v>94</v>
      </c>
      <c r="M316" s="94"/>
    </row>
    <row r="317" spans="1:13" s="132" customFormat="1" ht="12" customHeight="1" x14ac:dyDescent="0.3">
      <c r="B317" s="59" t="s">
        <v>144</v>
      </c>
      <c r="C317" s="25"/>
      <c r="D317" s="266" t="s">
        <v>44</v>
      </c>
      <c r="E317" s="244">
        <v>5</v>
      </c>
      <c r="I317" s="26"/>
      <c r="J317" s="29"/>
      <c r="K317" s="121"/>
      <c r="L317" s="57" t="s">
        <v>70</v>
      </c>
      <c r="M317" s="58">
        <f>M9</f>
        <v>0.05</v>
      </c>
    </row>
    <row r="318" spans="1:13" s="132" customFormat="1" ht="12" customHeight="1" x14ac:dyDescent="0.3">
      <c r="B318" s="28"/>
      <c r="C318" s="122"/>
      <c r="D318" s="267"/>
      <c r="E318" s="211"/>
      <c r="I318" s="26"/>
      <c r="J318" s="29"/>
      <c r="K318" s="121"/>
      <c r="L318" s="57" t="s">
        <v>80</v>
      </c>
      <c r="M318" s="58">
        <f>M10</f>
        <v>0.05</v>
      </c>
    </row>
    <row r="319" spans="1:13" s="132" customFormat="1" ht="12" customHeight="1" x14ac:dyDescent="0.3">
      <c r="B319" s="28"/>
      <c r="C319" s="28"/>
      <c r="D319" s="43"/>
      <c r="H319" s="29"/>
      <c r="I319" s="29"/>
      <c r="J319" s="29"/>
      <c r="K319" s="29"/>
      <c r="L319" s="122"/>
      <c r="M319" s="122"/>
    </row>
    <row r="320" spans="1:13" s="132" customFormat="1" ht="27.6" x14ac:dyDescent="0.3">
      <c r="A320" s="246" t="s">
        <v>145</v>
      </c>
      <c r="B320" s="246" t="s">
        <v>70</v>
      </c>
      <c r="C320" s="48" t="s">
        <v>47</v>
      </c>
      <c r="D320" s="135" t="s">
        <v>97</v>
      </c>
      <c r="E320" s="48" t="s">
        <v>98</v>
      </c>
      <c r="F320" s="48" t="s">
        <v>99</v>
      </c>
      <c r="G320" s="48" t="s">
        <v>22</v>
      </c>
      <c r="H320" s="48" t="s">
        <v>23</v>
      </c>
      <c r="I320" s="48" t="s">
        <v>100</v>
      </c>
      <c r="J320" s="124"/>
      <c r="K320" s="48"/>
      <c r="L320" s="48" t="s">
        <v>101</v>
      </c>
      <c r="M320" s="48" t="s">
        <v>0</v>
      </c>
    </row>
    <row r="321" spans="1:13" s="132" customFormat="1" ht="12" customHeight="1" x14ac:dyDescent="0.3">
      <c r="A321" s="137" t="s">
        <v>103</v>
      </c>
      <c r="B321" s="71" t="str">
        <f>IF(A321="","",VLOOKUP(A321,'Database Lab+Equip'!$A:$D,2,FALSE))</f>
        <v>Polywelder</v>
      </c>
      <c r="C321" s="142">
        <v>1</v>
      </c>
      <c r="D321" s="269">
        <v>12</v>
      </c>
      <c r="E321" s="140">
        <f>IF(A321="",0,VLOOKUP(A321,'Database Lab+Equip'!$A:$D,3,FALSE))</f>
        <v>90</v>
      </c>
      <c r="F321" s="140">
        <f>IF(A321="",0,VLOOKUP(A321,'Database Lab+Equip'!$A:$D,4,FALSE))</f>
        <v>125.99999999999999</v>
      </c>
      <c r="G321" s="140">
        <f>IF(A321="",0,C321*D321*E321*E$317)</f>
        <v>5400</v>
      </c>
      <c r="H321" s="140">
        <f>IF(A321="",0,C321*D321*F321*E$317)</f>
        <v>7559.9999999999991</v>
      </c>
      <c r="I321" s="140">
        <f>(H321*$M$317)+H321</f>
        <v>7937.9999999999991</v>
      </c>
      <c r="J321" s="84"/>
      <c r="K321" s="29"/>
      <c r="L321" s="122"/>
      <c r="M321" s="84"/>
    </row>
    <row r="322" spans="1:13" s="132" customFormat="1" ht="12" customHeight="1" x14ac:dyDescent="0.3">
      <c r="A322" s="137" t="s">
        <v>105</v>
      </c>
      <c r="B322" s="71" t="str">
        <f>IF(A322="","",VLOOKUP(A322,'Database Lab+Equip'!$A:$D,2,FALSE))</f>
        <v>Operator</v>
      </c>
      <c r="C322" s="142">
        <v>1</v>
      </c>
      <c r="D322" s="269">
        <v>12</v>
      </c>
      <c r="E322" s="140">
        <f>IF(A322="",0,VLOOKUP(A322,'Database Lab+Equip'!$A:$D,3,FALSE))</f>
        <v>90</v>
      </c>
      <c r="F322" s="140">
        <f>IF(A322="",0,VLOOKUP(A322,'Database Lab+Equip'!$A:$D,4,FALSE))</f>
        <v>125.99999999999999</v>
      </c>
      <c r="G322" s="140">
        <f>IF(A322="",0,C322*D322*E322*E$317)</f>
        <v>5400</v>
      </c>
      <c r="H322" s="140">
        <f>IF(A322="",0,C322*D322*F322*E$317)</f>
        <v>7559.9999999999991</v>
      </c>
      <c r="I322" s="140">
        <f>(H322*$M$317)+H322</f>
        <v>7937.9999999999991</v>
      </c>
      <c r="J322" s="84"/>
      <c r="K322" s="29"/>
      <c r="L322" s="122"/>
      <c r="M322" s="122"/>
    </row>
    <row r="323" spans="1:13" s="132" customFormat="1" ht="12" customHeight="1" x14ac:dyDescent="0.3">
      <c r="A323" s="137"/>
      <c r="B323" s="71" t="str">
        <f>IF(A323="","",VLOOKUP(A323,'Database Lab+Equip'!$A:$D,2,FALSE))</f>
        <v/>
      </c>
      <c r="C323" s="142"/>
      <c r="D323" s="269"/>
      <c r="E323" s="140">
        <f>IF(A323="",0,VLOOKUP(A323,'Database Lab+Equip'!$A:$D,3,FALSE))</f>
        <v>0</v>
      </c>
      <c r="F323" s="140">
        <f>IF(A323="",0,VLOOKUP(A323,'Database Lab+Equip'!$A:$D,4,FALSE))</f>
        <v>0</v>
      </c>
      <c r="G323" s="140">
        <f>IF(A323="",0,C323*D323*E323*E$317)</f>
        <v>0</v>
      </c>
      <c r="H323" s="140">
        <f>IF(A323="",0,C323*D323*F323*E$317)</f>
        <v>0</v>
      </c>
      <c r="I323" s="140">
        <f>(H323*$M$317)+H323</f>
        <v>0</v>
      </c>
      <c r="J323" s="84"/>
      <c r="K323" s="29"/>
      <c r="L323" s="122"/>
      <c r="M323" s="122"/>
    </row>
    <row r="324" spans="1:13" s="132" customFormat="1" ht="12" customHeight="1" x14ac:dyDescent="0.3">
      <c r="A324" s="137"/>
      <c r="B324" s="71" t="str">
        <f>IF(A324="","",VLOOKUP(A324,'Database Lab+Equip'!$A:$D,2,FALSE))</f>
        <v/>
      </c>
      <c r="C324" s="142"/>
      <c r="D324" s="269"/>
      <c r="E324" s="140">
        <f>IF(A324="",0,VLOOKUP(A324,'Database Lab+Equip'!$A:$D,3,FALSE))</f>
        <v>0</v>
      </c>
      <c r="F324" s="140">
        <f>IF(A324="",0,VLOOKUP(A324,'Database Lab+Equip'!$A:$D,4,FALSE))</f>
        <v>0</v>
      </c>
      <c r="G324" s="140">
        <f>IF(A324="",0,C324*D324*E324*E$317)</f>
        <v>0</v>
      </c>
      <c r="H324" s="140">
        <f>IF(A324="",0,C324*D324*F324*E$317)</f>
        <v>0</v>
      </c>
      <c r="I324" s="140">
        <f>(H324*$M$317)+H324</f>
        <v>0</v>
      </c>
      <c r="J324" s="84"/>
      <c r="K324" s="29"/>
      <c r="L324" s="122"/>
      <c r="M324" s="122"/>
    </row>
    <row r="325" spans="1:13" s="132" customFormat="1" ht="12" customHeight="1" x14ac:dyDescent="0.3">
      <c r="A325" s="137"/>
      <c r="B325" s="71" t="str">
        <f>IF(A325="","",VLOOKUP(A325,'Database Lab+Equip'!$A:$D,2,FALSE))</f>
        <v/>
      </c>
      <c r="C325" s="142"/>
      <c r="D325" s="269"/>
      <c r="E325" s="140">
        <f>IF(A325="",0,VLOOKUP(A325,'Database Lab+Equip'!$A:$D,3,FALSE))</f>
        <v>0</v>
      </c>
      <c r="F325" s="140">
        <f>IF(A325="",0,VLOOKUP(A325,'Database Lab+Equip'!$A:$D,4,FALSE))</f>
        <v>0</v>
      </c>
      <c r="G325" s="140">
        <f>IF(A325="",0,C325*D325*E325*E$317)</f>
        <v>0</v>
      </c>
      <c r="H325" s="140">
        <f>IF(A325="",0,C325*D325*F325*E$317)</f>
        <v>0</v>
      </c>
      <c r="I325" s="140">
        <f>(H325*$M$317)+H325</f>
        <v>0</v>
      </c>
      <c r="J325" s="152" t="s">
        <v>108</v>
      </c>
      <c r="K325" s="153" t="s">
        <v>109</v>
      </c>
      <c r="L325" s="31"/>
      <c r="M325" s="123">
        <f>SUM(I321:I325)-SUM(G321:G325)</f>
        <v>5075.9999999999982</v>
      </c>
    </row>
    <row r="326" spans="1:13" s="132" customFormat="1" ht="12" customHeight="1" x14ac:dyDescent="0.3">
      <c r="A326" s="35"/>
      <c r="C326" s="140"/>
      <c r="D326" s="270"/>
      <c r="E326" s="140"/>
      <c r="F326" s="140"/>
      <c r="G326" s="21">
        <f>SUM(G321:G325)</f>
        <v>10800</v>
      </c>
      <c r="H326" s="21">
        <f>SUM(H321:H325)</f>
        <v>15119.999999999998</v>
      </c>
      <c r="I326" s="21">
        <f>SUM(I321:I325)</f>
        <v>15875.999999999998</v>
      </c>
      <c r="J326" s="21">
        <f>G326</f>
        <v>10800</v>
      </c>
      <c r="K326" s="34">
        <f>I326</f>
        <v>15875.999999999998</v>
      </c>
      <c r="L326" s="247">
        <f>IF(J326=0,0,(K326-J326)/J326)</f>
        <v>0.46999999999999981</v>
      </c>
      <c r="M326" s="122"/>
    </row>
    <row r="327" spans="1:13" s="132" customFormat="1" ht="12" customHeight="1" x14ac:dyDescent="0.3">
      <c r="A327" s="35"/>
      <c r="B327" s="71"/>
      <c r="C327" s="122"/>
      <c r="D327" s="265"/>
      <c r="E327" s="122"/>
      <c r="F327" s="122"/>
      <c r="G327" s="122"/>
      <c r="H327" s="122"/>
      <c r="I327" s="144"/>
      <c r="J327" s="84"/>
      <c r="K327" s="29"/>
      <c r="L327" s="122"/>
      <c r="M327" s="122"/>
    </row>
    <row r="328" spans="1:13" s="132" customFormat="1" ht="41.4" x14ac:dyDescent="0.3">
      <c r="A328" s="246" t="s">
        <v>96</v>
      </c>
      <c r="B328" s="246" t="s">
        <v>80</v>
      </c>
      <c r="C328" s="48" t="s">
        <v>47</v>
      </c>
      <c r="D328" s="135" t="s">
        <v>110</v>
      </c>
      <c r="E328" s="48" t="s">
        <v>98</v>
      </c>
      <c r="F328" s="48" t="s">
        <v>99</v>
      </c>
      <c r="G328" s="48" t="s">
        <v>22</v>
      </c>
      <c r="H328" s="48" t="s">
        <v>23</v>
      </c>
      <c r="I328" s="48" t="s">
        <v>100</v>
      </c>
      <c r="J328" s="145"/>
      <c r="K328" s="48"/>
      <c r="L328" s="124"/>
      <c r="M328" s="124"/>
    </row>
    <row r="329" spans="1:13" s="132" customFormat="1" ht="12" customHeight="1" x14ac:dyDescent="0.3">
      <c r="A329" s="148" t="s">
        <v>116</v>
      </c>
      <c r="B329" s="71" t="str">
        <f>IF(A329="","",VLOOKUP(A329,'Database Lab+Equip'!$F:$I,2,FALSE))</f>
        <v>Hand tools</v>
      </c>
      <c r="C329" s="139">
        <v>1</v>
      </c>
      <c r="D329" s="271">
        <v>1</v>
      </c>
      <c r="E329" s="140">
        <f>IF(A329="",0,VLOOKUP(A329,'Database Lab+Equip'!$F:$I,3,FALSE))</f>
        <v>85</v>
      </c>
      <c r="F329" s="140">
        <f>IF(A329="",0,VLOOKUP(A329,'Database Lab+Equip'!$F:$I,4,FALSE))</f>
        <v>153</v>
      </c>
      <c r="G329" s="140">
        <f t="shared" ref="G329:G336" si="33">IF(A329="",0,C329*D329*E329*E$317)</f>
        <v>425</v>
      </c>
      <c r="H329" s="140">
        <f t="shared" ref="H329:H336" si="34">IF(A329="",0,C329*D329*F329*E$317)</f>
        <v>765</v>
      </c>
      <c r="I329" s="140">
        <f>(H329*$M$318)+H329</f>
        <v>803.25</v>
      </c>
      <c r="J329" s="84"/>
      <c r="K329" s="29"/>
      <c r="L329" s="122"/>
      <c r="M329" s="84"/>
    </row>
    <row r="330" spans="1:13" s="132" customFormat="1" ht="12" customHeight="1" x14ac:dyDescent="0.3">
      <c r="A330" s="148" t="s">
        <v>381</v>
      </c>
      <c r="B330" s="71" t="str">
        <f>IF(A330="","",VLOOKUP(A330,'Database Lab+Equip'!$F:$I,2,FALSE))</f>
        <v>Crane truck 4t</v>
      </c>
      <c r="C330" s="142">
        <v>1</v>
      </c>
      <c r="D330" s="272">
        <v>1</v>
      </c>
      <c r="E330" s="140">
        <f>IF(A330="",0,VLOOKUP(A330,'Database Lab+Equip'!$F:$I,3,FALSE))</f>
        <v>500</v>
      </c>
      <c r="F330" s="140">
        <f>IF(A330="",0,VLOOKUP(A330,'Database Lab+Equip'!$F:$I,4,FALSE))</f>
        <v>900</v>
      </c>
      <c r="G330" s="140">
        <f t="shared" si="33"/>
        <v>2500</v>
      </c>
      <c r="H330" s="140">
        <f t="shared" si="34"/>
        <v>4500</v>
      </c>
      <c r="I330" s="140">
        <f t="shared" ref="I330:I336" si="35">(H330*$M$318)+H330</f>
        <v>4725</v>
      </c>
      <c r="J330" s="122"/>
      <c r="K330" s="29"/>
      <c r="L330" s="122"/>
      <c r="M330" s="122"/>
    </row>
    <row r="331" spans="1:13" s="132" customFormat="1" ht="12" customHeight="1" x14ac:dyDescent="0.3">
      <c r="A331" s="148"/>
      <c r="B331" s="71" t="str">
        <f>IF(A331="","",VLOOKUP(A331,'Database Lab+Equip'!$F:$I,2,FALSE))</f>
        <v/>
      </c>
      <c r="C331" s="142"/>
      <c r="D331" s="272"/>
      <c r="E331" s="140">
        <f>IF(A331="",0,VLOOKUP(A331,'Database Lab+Equip'!$F:$I,3,FALSE))</f>
        <v>0</v>
      </c>
      <c r="F331" s="140">
        <f>IF(A331="",0,VLOOKUP(A331,'Database Lab+Equip'!$F:$I,4,FALSE))</f>
        <v>0</v>
      </c>
      <c r="G331" s="140">
        <f t="shared" si="33"/>
        <v>0</v>
      </c>
      <c r="H331" s="140">
        <f t="shared" si="34"/>
        <v>0</v>
      </c>
      <c r="I331" s="140">
        <f t="shared" si="35"/>
        <v>0</v>
      </c>
      <c r="J331" s="84"/>
      <c r="K331" s="29"/>
      <c r="L331" s="122"/>
      <c r="M331" s="122"/>
    </row>
    <row r="332" spans="1:13" s="132" customFormat="1" ht="12" customHeight="1" x14ac:dyDescent="0.3">
      <c r="A332" s="148"/>
      <c r="B332" s="71" t="str">
        <f>IF(A332="","",VLOOKUP(A332,'Database Lab+Equip'!$F:$I,2,FALSE))</f>
        <v/>
      </c>
      <c r="C332" s="142"/>
      <c r="D332" s="272"/>
      <c r="E332" s="140">
        <f>IF(A332="",0,VLOOKUP(A332,'Database Lab+Equip'!$F:$I,3,FALSE))</f>
        <v>0</v>
      </c>
      <c r="F332" s="140">
        <f>IF(A332="",0,VLOOKUP(A332,'Database Lab+Equip'!$F:$I,4,FALSE))</f>
        <v>0</v>
      </c>
      <c r="G332" s="140">
        <f t="shared" si="33"/>
        <v>0</v>
      </c>
      <c r="H332" s="140">
        <f t="shared" si="34"/>
        <v>0</v>
      </c>
      <c r="I332" s="140">
        <f t="shared" si="35"/>
        <v>0</v>
      </c>
      <c r="J332" s="84"/>
      <c r="K332" s="29"/>
      <c r="L332" s="122"/>
      <c r="M332" s="122"/>
    </row>
    <row r="333" spans="1:13" s="132" customFormat="1" ht="12" customHeight="1" x14ac:dyDescent="0.3">
      <c r="A333" s="148"/>
      <c r="B333" s="71" t="str">
        <f>IF(A333="","",VLOOKUP(A333,'Database Lab+Equip'!$F:$I,2,FALSE))</f>
        <v/>
      </c>
      <c r="C333" s="142"/>
      <c r="D333" s="272"/>
      <c r="E333" s="140">
        <f>IF(A333="",0,VLOOKUP(A333,'Database Lab+Equip'!$F:$I,3,FALSE))</f>
        <v>0</v>
      </c>
      <c r="F333" s="140">
        <f>IF(A333="",0,VLOOKUP(A333,'Database Lab+Equip'!$F:$I,4,FALSE))</f>
        <v>0</v>
      </c>
      <c r="G333" s="140">
        <f t="shared" si="33"/>
        <v>0</v>
      </c>
      <c r="H333" s="140">
        <f t="shared" si="34"/>
        <v>0</v>
      </c>
      <c r="I333" s="140">
        <f t="shared" si="35"/>
        <v>0</v>
      </c>
      <c r="J333" s="84"/>
      <c r="K333" s="29"/>
      <c r="L333" s="122"/>
      <c r="M333" s="122"/>
    </row>
    <row r="334" spans="1:13" s="132" customFormat="1" ht="12" customHeight="1" x14ac:dyDescent="0.3">
      <c r="A334" s="148"/>
      <c r="B334" s="71" t="str">
        <f>IF(A334="","",VLOOKUP(A334,'Database Lab+Equip'!$F:$I,2,FALSE))</f>
        <v/>
      </c>
      <c r="C334" s="142"/>
      <c r="D334" s="272"/>
      <c r="E334" s="140">
        <f>IF(A334="",0,VLOOKUP(A334,'Database Lab+Equip'!$F:$I,3,FALSE))</f>
        <v>0</v>
      </c>
      <c r="F334" s="140">
        <f>IF(A334="",0,VLOOKUP(A334,'Database Lab+Equip'!$F:$I,4,FALSE))</f>
        <v>0</v>
      </c>
      <c r="G334" s="140">
        <f t="shared" si="33"/>
        <v>0</v>
      </c>
      <c r="H334" s="140">
        <f t="shared" si="34"/>
        <v>0</v>
      </c>
      <c r="I334" s="140">
        <f t="shared" si="35"/>
        <v>0</v>
      </c>
      <c r="J334" s="84"/>
      <c r="K334" s="29"/>
      <c r="L334" s="122"/>
      <c r="M334" s="122"/>
    </row>
    <row r="335" spans="1:13" s="132" customFormat="1" ht="12" customHeight="1" x14ac:dyDescent="0.3">
      <c r="A335" s="148"/>
      <c r="B335" s="71" t="str">
        <f>IF(A335="","",VLOOKUP(A335,'Database Lab+Equip'!$F:$I,2,FALSE))</f>
        <v/>
      </c>
      <c r="C335" s="150"/>
      <c r="D335" s="273"/>
      <c r="E335" s="140">
        <f>IF(A335="",0,VLOOKUP(A335,'Database Lab+Equip'!$F:$I,3,FALSE))</f>
        <v>0</v>
      </c>
      <c r="F335" s="140">
        <f>IF(A335="",0,VLOOKUP(A335,'Database Lab+Equip'!$F:$I,4,FALSE))</f>
        <v>0</v>
      </c>
      <c r="G335" s="140">
        <f t="shared" si="33"/>
        <v>0</v>
      </c>
      <c r="H335" s="140">
        <f t="shared" si="34"/>
        <v>0</v>
      </c>
      <c r="I335" s="140">
        <f t="shared" si="35"/>
        <v>0</v>
      </c>
      <c r="J335" s="84"/>
      <c r="K335" s="29"/>
      <c r="L335" s="122"/>
      <c r="M335" s="122"/>
    </row>
    <row r="336" spans="1:13" s="132" customFormat="1" ht="12" customHeight="1" x14ac:dyDescent="0.3">
      <c r="A336" s="148"/>
      <c r="B336" s="71" t="str">
        <f>IF(A336="","",VLOOKUP(A336,'Database Lab+Equip'!$F:$I,2,FALSE))</f>
        <v/>
      </c>
      <c r="C336" s="150"/>
      <c r="D336" s="273"/>
      <c r="E336" s="140">
        <f>IF(A336="",0,VLOOKUP(A336,'Database Lab+Equip'!$F:$I,3,FALSE))</f>
        <v>0</v>
      </c>
      <c r="F336" s="140">
        <f>IF(A336="",0,VLOOKUP(A336,'Database Lab+Equip'!$F:$I,4,FALSE))</f>
        <v>0</v>
      </c>
      <c r="G336" s="140">
        <f t="shared" si="33"/>
        <v>0</v>
      </c>
      <c r="H336" s="140">
        <f t="shared" si="34"/>
        <v>0</v>
      </c>
      <c r="I336" s="140">
        <f t="shared" si="35"/>
        <v>0</v>
      </c>
      <c r="J336" s="152" t="s">
        <v>108</v>
      </c>
      <c r="K336" s="153" t="s">
        <v>109</v>
      </c>
      <c r="L336" s="31"/>
      <c r="M336" s="125">
        <f>SUM(I329:I336)-SUM(G329:G336)</f>
        <v>2603.25</v>
      </c>
    </row>
    <row r="337" spans="1:13" s="132" customFormat="1" ht="12" customHeight="1" x14ac:dyDescent="0.3">
      <c r="A337" s="72"/>
      <c r="B337" s="71"/>
      <c r="D337" s="265"/>
      <c r="E337" s="122"/>
      <c r="F337" s="122"/>
      <c r="G337" s="21">
        <f>SUM(G329:G336)</f>
        <v>2925</v>
      </c>
      <c r="H337" s="21">
        <f>SUM(H329:H336)</f>
        <v>5265</v>
      </c>
      <c r="I337" s="21">
        <f>SUM(I329:I336)</f>
        <v>5528.25</v>
      </c>
      <c r="J337" s="21">
        <f>G337</f>
        <v>2925</v>
      </c>
      <c r="K337" s="34">
        <f>I337</f>
        <v>5528.25</v>
      </c>
      <c r="L337" s="256">
        <f>IF(J337=0,0,(K337-J337)/J337)</f>
        <v>0.89</v>
      </c>
      <c r="M337" s="187">
        <f>M325+M336</f>
        <v>7679.2499999999982</v>
      </c>
    </row>
    <row r="338" spans="1:13" s="31" customFormat="1" ht="13.8" x14ac:dyDescent="0.3">
      <c r="A338" s="110"/>
      <c r="B338" s="257"/>
      <c r="C338" s="258"/>
      <c r="D338" s="274"/>
      <c r="E338" s="117"/>
      <c r="F338" s="117"/>
      <c r="G338" s="118"/>
      <c r="H338" s="110"/>
      <c r="I338" s="161"/>
      <c r="J338" s="162">
        <f>J326+J337</f>
        <v>13725</v>
      </c>
      <c r="K338" s="162">
        <f>K326+K337</f>
        <v>21404.25</v>
      </c>
      <c r="L338" s="259">
        <f>IF(J338=0,0,(K338-J338)/K338)</f>
        <v>0.35877220645432567</v>
      </c>
      <c r="M338" s="173"/>
    </row>
    <row r="339" spans="1:13" s="31" customFormat="1" ht="13.8" x14ac:dyDescent="0.3">
      <c r="A339" s="112"/>
      <c r="B339" s="251"/>
      <c r="C339" s="252"/>
      <c r="D339" s="275"/>
      <c r="E339" s="215"/>
      <c r="F339" s="215"/>
      <c r="G339" s="216"/>
      <c r="H339" s="112"/>
      <c r="I339" s="217"/>
      <c r="J339" s="218"/>
      <c r="K339" s="218"/>
      <c r="L339" s="254"/>
      <c r="M339" s="213"/>
    </row>
    <row r="340" spans="1:13" ht="15.6" x14ac:dyDescent="0.3">
      <c r="B340" s="241"/>
      <c r="C340" s="239"/>
      <c r="D340" s="42"/>
      <c r="E340" s="239"/>
      <c r="F340" s="255"/>
      <c r="H340" s="132"/>
      <c r="I340" s="132"/>
      <c r="L340" s="93" t="s">
        <v>85</v>
      </c>
      <c r="M340" s="94"/>
    </row>
    <row r="341" spans="1:13" s="132" customFormat="1" ht="12" customHeight="1" x14ac:dyDescent="0.3">
      <c r="B341" s="59" t="s">
        <v>135</v>
      </c>
      <c r="C341" s="242"/>
      <c r="D341" s="266" t="s">
        <v>87</v>
      </c>
      <c r="E341" s="23"/>
      <c r="F341" s="133"/>
      <c r="H341" s="14"/>
      <c r="I341" s="14"/>
      <c r="J341" s="121"/>
      <c r="K341" s="121"/>
      <c r="L341" s="126" t="s">
        <v>88</v>
      </c>
      <c r="M341" s="243"/>
    </row>
    <row r="342" spans="1:13" s="132" customFormat="1" ht="12" customHeight="1" x14ac:dyDescent="0.3">
      <c r="B342" s="59" t="s">
        <v>141</v>
      </c>
      <c r="C342" s="25"/>
      <c r="D342" s="266" t="s">
        <v>89</v>
      </c>
      <c r="E342" s="23"/>
      <c r="J342" s="122"/>
      <c r="K342" s="121"/>
      <c r="L342" s="126" t="s">
        <v>90</v>
      </c>
      <c r="M342" s="243"/>
    </row>
    <row r="343" spans="1:13" s="132" customFormat="1" ht="12" customHeight="1" x14ac:dyDescent="0.3">
      <c r="B343" s="59" t="s">
        <v>142</v>
      </c>
      <c r="C343" s="27" t="str">
        <f>IF(C341="","",C341/E343+C342)</f>
        <v/>
      </c>
      <c r="D343" s="266" t="s">
        <v>91</v>
      </c>
      <c r="E343" s="23"/>
      <c r="I343" s="26"/>
      <c r="J343" s="29"/>
      <c r="K343" s="121"/>
      <c r="L343" s="126" t="s">
        <v>92</v>
      </c>
      <c r="M343" s="243"/>
    </row>
    <row r="344" spans="1:13" s="132" customFormat="1" ht="12" customHeight="1" x14ac:dyDescent="0.3">
      <c r="B344" s="59" t="s">
        <v>143</v>
      </c>
      <c r="C344" s="25"/>
      <c r="D344" s="266" t="s">
        <v>25</v>
      </c>
      <c r="E344" s="128">
        <f>SUM(C349:C353)</f>
        <v>0</v>
      </c>
      <c r="I344" s="26"/>
      <c r="J344" s="29"/>
      <c r="K344" s="121"/>
      <c r="L344" s="93" t="s">
        <v>94</v>
      </c>
      <c r="M344" s="94"/>
    </row>
    <row r="345" spans="1:13" s="132" customFormat="1" ht="12" customHeight="1" x14ac:dyDescent="0.3">
      <c r="B345" s="59" t="s">
        <v>144</v>
      </c>
      <c r="C345" s="25"/>
      <c r="D345" s="266" t="s">
        <v>44</v>
      </c>
      <c r="E345" s="244">
        <f>IF(E344=0,0,(C343/C344)/C345)</f>
        <v>0</v>
      </c>
      <c r="I345" s="26"/>
      <c r="J345" s="29"/>
      <c r="K345" s="121"/>
      <c r="L345" s="57" t="s">
        <v>70</v>
      </c>
      <c r="M345" s="58">
        <f>M9</f>
        <v>0.05</v>
      </c>
    </row>
    <row r="346" spans="1:13" s="132" customFormat="1" ht="12" customHeight="1" x14ac:dyDescent="0.3">
      <c r="B346" s="28"/>
      <c r="C346" s="122"/>
      <c r="D346" s="267"/>
      <c r="E346" s="211"/>
      <c r="I346" s="26"/>
      <c r="J346" s="29"/>
      <c r="K346" s="121"/>
      <c r="L346" s="57" t="s">
        <v>80</v>
      </c>
      <c r="M346" s="58">
        <f>M10</f>
        <v>0.05</v>
      </c>
    </row>
    <row r="347" spans="1:13" s="132" customFormat="1" ht="12" customHeight="1" x14ac:dyDescent="0.3">
      <c r="B347" s="28"/>
      <c r="C347" s="28"/>
      <c r="D347" s="43"/>
      <c r="H347" s="29"/>
      <c r="I347" s="29"/>
      <c r="J347" s="29"/>
      <c r="K347" s="29"/>
      <c r="L347" s="122"/>
      <c r="M347" s="122"/>
    </row>
    <row r="348" spans="1:13" s="132" customFormat="1" ht="27.6" x14ac:dyDescent="0.3">
      <c r="A348" s="246" t="s">
        <v>145</v>
      </c>
      <c r="B348" s="246" t="s">
        <v>70</v>
      </c>
      <c r="C348" s="48" t="s">
        <v>47</v>
      </c>
      <c r="D348" s="135" t="s">
        <v>97</v>
      </c>
      <c r="E348" s="48" t="s">
        <v>98</v>
      </c>
      <c r="F348" s="48" t="s">
        <v>99</v>
      </c>
      <c r="G348" s="48" t="s">
        <v>22</v>
      </c>
      <c r="H348" s="48" t="s">
        <v>23</v>
      </c>
      <c r="I348" s="48" t="s">
        <v>100</v>
      </c>
      <c r="J348" s="124"/>
      <c r="K348" s="48"/>
      <c r="L348" s="48" t="s">
        <v>101</v>
      </c>
      <c r="M348" s="48" t="s">
        <v>0</v>
      </c>
    </row>
    <row r="349" spans="1:13" s="132" customFormat="1" ht="12" customHeight="1" x14ac:dyDescent="0.3">
      <c r="A349" s="137"/>
      <c r="B349" s="71" t="str">
        <f>IF(A349="","",VLOOKUP(A349,'Database Lab+Equip'!$A:$D,2,FALSE))</f>
        <v/>
      </c>
      <c r="C349" s="142"/>
      <c r="D349" s="269"/>
      <c r="E349" s="140">
        <f>IF(A349="",0,VLOOKUP(A349,'Database Lab+Equip'!$A:$D,3,FALSE))</f>
        <v>0</v>
      </c>
      <c r="F349" s="140">
        <f>IF(A349="",0,VLOOKUP(A349,'Database Lab+Equip'!$A:$D,4,FALSE))</f>
        <v>0</v>
      </c>
      <c r="G349" s="140">
        <f>IF(A349="",0,C349*D349*E349*E$345)</f>
        <v>0</v>
      </c>
      <c r="H349" s="140">
        <f>IF(A349="",0,C349*D349*F349*E$345)</f>
        <v>0</v>
      </c>
      <c r="I349" s="140">
        <f>(H349*$M$345)+H349</f>
        <v>0</v>
      </c>
      <c r="J349" s="84"/>
      <c r="K349" s="29"/>
      <c r="L349" s="122"/>
      <c r="M349" s="84"/>
    </row>
    <row r="350" spans="1:13" s="132" customFormat="1" ht="12" customHeight="1" x14ac:dyDescent="0.3">
      <c r="A350" s="137"/>
      <c r="B350" s="71" t="str">
        <f>IF(A350="","",VLOOKUP(A350,'Database Lab+Equip'!$A:$D,2,FALSE))</f>
        <v/>
      </c>
      <c r="C350" s="142"/>
      <c r="D350" s="269"/>
      <c r="E350" s="140">
        <f>IF(A350="",0,VLOOKUP(A350,'Database Lab+Equip'!$A:$D,3,FALSE))</f>
        <v>0</v>
      </c>
      <c r="F350" s="140">
        <f>IF(A350="",0,VLOOKUP(A350,'Database Lab+Equip'!$A:$D,4,FALSE))</f>
        <v>0</v>
      </c>
      <c r="G350" s="140">
        <f>IF(A350="",0,C350*D350*E350*E$345)</f>
        <v>0</v>
      </c>
      <c r="H350" s="140">
        <f>IF(A350="",0,C350*D350*F350*E$345)</f>
        <v>0</v>
      </c>
      <c r="I350" s="140">
        <f>(H350*$M$345)+H350</f>
        <v>0</v>
      </c>
      <c r="J350" s="84"/>
      <c r="K350" s="29"/>
      <c r="L350" s="122"/>
      <c r="M350" s="122"/>
    </row>
    <row r="351" spans="1:13" s="132" customFormat="1" ht="12" customHeight="1" x14ac:dyDescent="0.3">
      <c r="A351" s="137"/>
      <c r="B351" s="71" t="str">
        <f>IF(A351="","",VLOOKUP(A351,'Database Lab+Equip'!$A:$D,2,FALSE))</f>
        <v/>
      </c>
      <c r="C351" s="142"/>
      <c r="D351" s="269"/>
      <c r="E351" s="140">
        <f>IF(A351="",0,VLOOKUP(A351,'Database Lab+Equip'!$A:$D,3,FALSE))</f>
        <v>0</v>
      </c>
      <c r="F351" s="140">
        <f>IF(A351="",0,VLOOKUP(A351,'Database Lab+Equip'!$A:$D,4,FALSE))</f>
        <v>0</v>
      </c>
      <c r="G351" s="140">
        <f>IF(A351="",0,C351*D351*E351*E$345)</f>
        <v>0</v>
      </c>
      <c r="H351" s="140">
        <f>IF(A351="",0,C351*D351*F351*E$345)</f>
        <v>0</v>
      </c>
      <c r="I351" s="140">
        <f>(H351*$M$345)+H351</f>
        <v>0</v>
      </c>
      <c r="J351" s="84"/>
      <c r="K351" s="29"/>
      <c r="L351" s="122"/>
      <c r="M351" s="122"/>
    </row>
    <row r="352" spans="1:13" s="132" customFormat="1" ht="12" customHeight="1" x14ac:dyDescent="0.3">
      <c r="A352" s="137"/>
      <c r="B352" s="71" t="str">
        <f>IF(A352="","",VLOOKUP(A352,'Database Lab+Equip'!$A:$D,2,FALSE))</f>
        <v/>
      </c>
      <c r="C352" s="142"/>
      <c r="D352" s="269"/>
      <c r="E352" s="140">
        <f>IF(A352="",0,VLOOKUP(A352,'Database Lab+Equip'!$A:$D,3,FALSE))</f>
        <v>0</v>
      </c>
      <c r="F352" s="140">
        <f>IF(A352="",0,VLOOKUP(A352,'Database Lab+Equip'!$A:$D,4,FALSE))</f>
        <v>0</v>
      </c>
      <c r="G352" s="140">
        <f>IF(A352="",0,C352*D352*E352*E$345)</f>
        <v>0</v>
      </c>
      <c r="H352" s="140">
        <f>IF(A352="",0,C352*D352*F352*E$345)</f>
        <v>0</v>
      </c>
      <c r="I352" s="140">
        <f>(H352*$M$345)+H352</f>
        <v>0</v>
      </c>
      <c r="J352" s="84"/>
      <c r="K352" s="29"/>
      <c r="L352" s="122"/>
      <c r="M352" s="122"/>
    </row>
    <row r="353" spans="1:13" s="132" customFormat="1" ht="12" customHeight="1" x14ac:dyDescent="0.3">
      <c r="A353" s="137"/>
      <c r="B353" s="71" t="str">
        <f>IF(A353="","",VLOOKUP(A353,'Database Lab+Equip'!$A:$D,2,FALSE))</f>
        <v/>
      </c>
      <c r="C353" s="142"/>
      <c r="D353" s="269"/>
      <c r="E353" s="140">
        <f>IF(A353="",0,VLOOKUP(A353,'Database Lab+Equip'!$A:$D,3,FALSE))</f>
        <v>0</v>
      </c>
      <c r="F353" s="140">
        <f>IF(A353="",0,VLOOKUP(A353,'Database Lab+Equip'!$A:$D,4,FALSE))</f>
        <v>0</v>
      </c>
      <c r="G353" s="140">
        <f>IF(A353="",0,C353*D353*E353*E$345)</f>
        <v>0</v>
      </c>
      <c r="H353" s="140">
        <f>IF(A353="",0,C353*D353*F353*E$345)</f>
        <v>0</v>
      </c>
      <c r="I353" s="140">
        <f>(H353*$M$345)+H353</f>
        <v>0</v>
      </c>
      <c r="J353" s="152" t="s">
        <v>108</v>
      </c>
      <c r="K353" s="153" t="s">
        <v>109</v>
      </c>
      <c r="L353" s="31"/>
      <c r="M353" s="123">
        <f>SUM(I349:I353)-SUM(G349:G353)</f>
        <v>0</v>
      </c>
    </row>
    <row r="354" spans="1:13" s="132" customFormat="1" ht="12" customHeight="1" x14ac:dyDescent="0.3">
      <c r="A354" s="35"/>
      <c r="C354" s="140"/>
      <c r="D354" s="270"/>
      <c r="E354" s="140"/>
      <c r="F354" s="140"/>
      <c r="G354" s="21">
        <f>SUM(G349:G353)</f>
        <v>0</v>
      </c>
      <c r="H354" s="21">
        <f>SUM(H349:H353)</f>
        <v>0</v>
      </c>
      <c r="I354" s="21">
        <f>SUM(I349:I353)</f>
        <v>0</v>
      </c>
      <c r="J354" s="21">
        <f>G354</f>
        <v>0</v>
      </c>
      <c r="K354" s="34">
        <f>I354</f>
        <v>0</v>
      </c>
      <c r="L354" s="247">
        <f>IF(J354=0,0,(K354-J354)/J354)</f>
        <v>0</v>
      </c>
      <c r="M354" s="122"/>
    </row>
    <row r="355" spans="1:13" s="132" customFormat="1" ht="12" customHeight="1" x14ac:dyDescent="0.3">
      <c r="A355" s="35"/>
      <c r="B355" s="71"/>
      <c r="C355" s="122"/>
      <c r="D355" s="265"/>
      <c r="E355" s="122"/>
      <c r="F355" s="122"/>
      <c r="G355" s="122"/>
      <c r="H355" s="122"/>
      <c r="I355" s="144"/>
      <c r="J355" s="84"/>
      <c r="K355" s="29"/>
      <c r="L355" s="122"/>
      <c r="M355" s="122"/>
    </row>
    <row r="356" spans="1:13" s="132" customFormat="1" ht="41.4" x14ac:dyDescent="0.3">
      <c r="A356" s="246" t="s">
        <v>96</v>
      </c>
      <c r="B356" s="246" t="s">
        <v>80</v>
      </c>
      <c r="C356" s="48" t="s">
        <v>47</v>
      </c>
      <c r="D356" s="135" t="s">
        <v>110</v>
      </c>
      <c r="E356" s="48" t="s">
        <v>98</v>
      </c>
      <c r="F356" s="48" t="s">
        <v>99</v>
      </c>
      <c r="G356" s="48" t="s">
        <v>22</v>
      </c>
      <c r="H356" s="48" t="s">
        <v>23</v>
      </c>
      <c r="I356" s="48" t="s">
        <v>100</v>
      </c>
      <c r="J356" s="145"/>
      <c r="K356" s="48"/>
      <c r="L356" s="124"/>
      <c r="M356" s="124"/>
    </row>
    <row r="357" spans="1:13" s="132" customFormat="1" ht="12" customHeight="1" x14ac:dyDescent="0.3">
      <c r="A357" s="148"/>
      <c r="B357" s="71" t="str">
        <f>IF(A357="","",VLOOKUP(A357,'Database Lab+Equip'!$F:$I,2,FALSE))</f>
        <v/>
      </c>
      <c r="C357" s="139"/>
      <c r="D357" s="271"/>
      <c r="E357" s="140">
        <f>IF(A357="",0,VLOOKUP(A357,'Database Lab+Equip'!$F:$I,3,FALSE))</f>
        <v>0</v>
      </c>
      <c r="F357" s="140">
        <f>IF(A357="",0,VLOOKUP(A357,'Database Lab+Equip'!$F:$I,4,FALSE))</f>
        <v>0</v>
      </c>
      <c r="G357" s="140">
        <f>IF(A357="",0,C357*D357*E357*E$345)</f>
        <v>0</v>
      </c>
      <c r="H357" s="140">
        <f>IF(A357="",0,C357*D357*F357*E$345)</f>
        <v>0</v>
      </c>
      <c r="I357" s="140">
        <f>(H357*$M$346)+H357</f>
        <v>0</v>
      </c>
      <c r="J357" s="84"/>
      <c r="K357" s="29"/>
      <c r="L357" s="122"/>
      <c r="M357" s="84"/>
    </row>
    <row r="358" spans="1:13" s="132" customFormat="1" ht="12" customHeight="1" x14ac:dyDescent="0.3">
      <c r="A358" s="148"/>
      <c r="B358" s="71" t="str">
        <f>IF(A358="","",VLOOKUP(A358,'Database Lab+Equip'!$F:$I,2,FALSE))</f>
        <v/>
      </c>
      <c r="C358" s="142"/>
      <c r="D358" s="272"/>
      <c r="E358" s="140">
        <f>IF(A358="",0,VLOOKUP(A358,'Database Lab+Equip'!$F:$I,3,FALSE))</f>
        <v>0</v>
      </c>
      <c r="F358" s="140">
        <f>IF(A358="",0,VLOOKUP(A358,'Database Lab+Equip'!$F:$I,4,FALSE))</f>
        <v>0</v>
      </c>
      <c r="G358" s="140">
        <f t="shared" ref="G358:G364" si="36">IF(A358="",0,C358*D358*E358*E$345)</f>
        <v>0</v>
      </c>
      <c r="H358" s="140">
        <f t="shared" ref="H358:H364" si="37">IF(A358="",0,C358*D358*F358*E$345)</f>
        <v>0</v>
      </c>
      <c r="I358" s="140">
        <f t="shared" ref="I358:I364" si="38">(H358*$M$346)+H358</f>
        <v>0</v>
      </c>
      <c r="J358" s="122"/>
      <c r="K358" s="29"/>
      <c r="L358" s="122"/>
      <c r="M358" s="122"/>
    </row>
    <row r="359" spans="1:13" s="132" customFormat="1" ht="12" customHeight="1" x14ac:dyDescent="0.3">
      <c r="A359" s="148"/>
      <c r="B359" s="71" t="str">
        <f>IF(A359="","",VLOOKUP(A359,'Database Lab+Equip'!$F:$I,2,FALSE))</f>
        <v/>
      </c>
      <c r="C359" s="142"/>
      <c r="D359" s="272"/>
      <c r="E359" s="140">
        <f>IF(A359="",0,VLOOKUP(A359,'Database Lab+Equip'!$F:$I,3,FALSE))</f>
        <v>0</v>
      </c>
      <c r="F359" s="140">
        <f>IF(A359="",0,VLOOKUP(A359,'Database Lab+Equip'!$F:$I,4,FALSE))</f>
        <v>0</v>
      </c>
      <c r="G359" s="140">
        <f t="shared" si="36"/>
        <v>0</v>
      </c>
      <c r="H359" s="140">
        <f t="shared" si="37"/>
        <v>0</v>
      </c>
      <c r="I359" s="140">
        <f t="shared" si="38"/>
        <v>0</v>
      </c>
      <c r="J359" s="84"/>
      <c r="K359" s="29"/>
      <c r="L359" s="122"/>
      <c r="M359" s="122"/>
    </row>
    <row r="360" spans="1:13" s="132" customFormat="1" ht="12" customHeight="1" x14ac:dyDescent="0.3">
      <c r="A360" s="148"/>
      <c r="B360" s="71" t="str">
        <f>IF(A360="","",VLOOKUP(A360,'Database Lab+Equip'!$F:$I,2,FALSE))</f>
        <v/>
      </c>
      <c r="C360" s="142"/>
      <c r="D360" s="272"/>
      <c r="E360" s="140">
        <f>IF(A360="",0,VLOOKUP(A360,'Database Lab+Equip'!$F:$I,3,FALSE))</f>
        <v>0</v>
      </c>
      <c r="F360" s="140">
        <f>IF(A360="",0,VLOOKUP(A360,'Database Lab+Equip'!$F:$I,4,FALSE))</f>
        <v>0</v>
      </c>
      <c r="G360" s="140">
        <f t="shared" si="36"/>
        <v>0</v>
      </c>
      <c r="H360" s="140">
        <f t="shared" si="37"/>
        <v>0</v>
      </c>
      <c r="I360" s="140">
        <f t="shared" si="38"/>
        <v>0</v>
      </c>
      <c r="J360" s="84"/>
      <c r="K360" s="29"/>
      <c r="L360" s="122"/>
      <c r="M360" s="122"/>
    </row>
    <row r="361" spans="1:13" s="132" customFormat="1" ht="12" customHeight="1" x14ac:dyDescent="0.3">
      <c r="A361" s="148"/>
      <c r="B361" s="71" t="str">
        <f>IF(A361="","",VLOOKUP(A361,'Database Lab+Equip'!$F:$I,2,FALSE))</f>
        <v/>
      </c>
      <c r="C361" s="142"/>
      <c r="D361" s="272"/>
      <c r="E361" s="140">
        <f>IF(A361="",0,VLOOKUP(A361,'Database Lab+Equip'!$F:$I,3,FALSE))</f>
        <v>0</v>
      </c>
      <c r="F361" s="140">
        <f>IF(A361="",0,VLOOKUP(A361,'Database Lab+Equip'!$F:$I,4,FALSE))</f>
        <v>0</v>
      </c>
      <c r="G361" s="140">
        <f t="shared" si="36"/>
        <v>0</v>
      </c>
      <c r="H361" s="140">
        <f t="shared" si="37"/>
        <v>0</v>
      </c>
      <c r="I361" s="140">
        <f t="shared" si="38"/>
        <v>0</v>
      </c>
      <c r="J361" s="84"/>
      <c r="K361" s="29"/>
      <c r="L361" s="122"/>
      <c r="M361" s="122"/>
    </row>
    <row r="362" spans="1:13" s="132" customFormat="1" ht="12" customHeight="1" x14ac:dyDescent="0.3">
      <c r="A362" s="148"/>
      <c r="B362" s="71" t="str">
        <f>IF(A362="","",VLOOKUP(A362,'Database Lab+Equip'!$F:$I,2,FALSE))</f>
        <v/>
      </c>
      <c r="C362" s="142"/>
      <c r="D362" s="272"/>
      <c r="E362" s="140">
        <f>IF(A362="",0,VLOOKUP(A362,'Database Lab+Equip'!$F:$I,3,FALSE))</f>
        <v>0</v>
      </c>
      <c r="F362" s="140">
        <f>IF(A362="",0,VLOOKUP(A362,'Database Lab+Equip'!$F:$I,4,FALSE))</f>
        <v>0</v>
      </c>
      <c r="G362" s="140">
        <f t="shared" si="36"/>
        <v>0</v>
      </c>
      <c r="H362" s="140">
        <f t="shared" si="37"/>
        <v>0</v>
      </c>
      <c r="I362" s="140">
        <f t="shared" si="38"/>
        <v>0</v>
      </c>
      <c r="J362" s="84"/>
      <c r="K362" s="29"/>
      <c r="L362" s="122"/>
      <c r="M362" s="122"/>
    </row>
    <row r="363" spans="1:13" s="132" customFormat="1" ht="12" customHeight="1" x14ac:dyDescent="0.3">
      <c r="A363" s="148"/>
      <c r="B363" s="71" t="str">
        <f>IF(A363="","",VLOOKUP(A363,'Database Lab+Equip'!$F:$I,2,FALSE))</f>
        <v/>
      </c>
      <c r="C363" s="150"/>
      <c r="D363" s="273"/>
      <c r="E363" s="140">
        <f>IF(A363="",0,VLOOKUP(A363,'Database Lab+Equip'!$F:$I,3,FALSE))</f>
        <v>0</v>
      </c>
      <c r="F363" s="140">
        <f>IF(A363="",0,VLOOKUP(A363,'Database Lab+Equip'!$F:$I,4,FALSE))</f>
        <v>0</v>
      </c>
      <c r="G363" s="140">
        <f t="shared" si="36"/>
        <v>0</v>
      </c>
      <c r="H363" s="140">
        <f t="shared" si="37"/>
        <v>0</v>
      </c>
      <c r="I363" s="140">
        <f t="shared" si="38"/>
        <v>0</v>
      </c>
      <c r="J363" s="84"/>
      <c r="K363" s="29"/>
      <c r="L363" s="122"/>
      <c r="M363" s="122"/>
    </row>
    <row r="364" spans="1:13" s="132" customFormat="1" ht="12" customHeight="1" x14ac:dyDescent="0.3">
      <c r="A364" s="148"/>
      <c r="B364" s="71" t="str">
        <f>IF(A364="","",VLOOKUP(A364,'Database Lab+Equip'!$F:$I,2,FALSE))</f>
        <v/>
      </c>
      <c r="C364" s="150"/>
      <c r="D364" s="273"/>
      <c r="E364" s="140">
        <f>IF(A364="",0,VLOOKUP(A364,'Database Lab+Equip'!$F:$I,3,FALSE))</f>
        <v>0</v>
      </c>
      <c r="F364" s="140">
        <f>IF(A364="",0,VLOOKUP(A364,'Database Lab+Equip'!$F:$I,4,FALSE))</f>
        <v>0</v>
      </c>
      <c r="G364" s="140">
        <f t="shared" si="36"/>
        <v>0</v>
      </c>
      <c r="H364" s="140">
        <f t="shared" si="37"/>
        <v>0</v>
      </c>
      <c r="I364" s="140">
        <f t="shared" si="38"/>
        <v>0</v>
      </c>
      <c r="J364" s="152" t="s">
        <v>108</v>
      </c>
      <c r="K364" s="153" t="s">
        <v>109</v>
      </c>
      <c r="L364" s="31"/>
      <c r="M364" s="125">
        <f>SUM(I357:I364)-SUM(G357:G364)</f>
        <v>0</v>
      </c>
    </row>
    <row r="365" spans="1:13" s="132" customFormat="1" ht="12" customHeight="1" x14ac:dyDescent="0.3">
      <c r="A365" s="72"/>
      <c r="B365" s="71"/>
      <c r="D365" s="265"/>
      <c r="E365" s="122"/>
      <c r="F365" s="122"/>
      <c r="G365" s="21">
        <f>SUM(G357:G364)</f>
        <v>0</v>
      </c>
      <c r="H365" s="21">
        <f>SUM(H357:H364)</f>
        <v>0</v>
      </c>
      <c r="I365" s="21">
        <f>SUM(I357:I364)</f>
        <v>0</v>
      </c>
      <c r="J365" s="21">
        <f>G365</f>
        <v>0</v>
      </c>
      <c r="K365" s="34">
        <f>I365</f>
        <v>0</v>
      </c>
      <c r="L365" s="256">
        <f>IF(J365=0,0,(K365-J365)/J365)</f>
        <v>0</v>
      </c>
      <c r="M365" s="187">
        <f>M353+M364</f>
        <v>0</v>
      </c>
    </row>
    <row r="366" spans="1:13" s="31" customFormat="1" ht="13.8" x14ac:dyDescent="0.3">
      <c r="A366" s="110"/>
      <c r="B366" s="257"/>
      <c r="C366" s="258"/>
      <c r="D366" s="274"/>
      <c r="E366" s="117"/>
      <c r="F366" s="117"/>
      <c r="G366" s="118"/>
      <c r="H366" s="110"/>
      <c r="I366" s="161"/>
      <c r="J366" s="162">
        <f>J354+J365</f>
        <v>0</v>
      </c>
      <c r="K366" s="162">
        <f>K354+K365</f>
        <v>0</v>
      </c>
      <c r="L366" s="259">
        <f>IF(J366=0,0,(K366-J366)/K366)</f>
        <v>0</v>
      </c>
      <c r="M366" s="173"/>
    </row>
    <row r="367" spans="1:13" s="31" customFormat="1" ht="13.8" x14ac:dyDescent="0.3">
      <c r="A367" s="112"/>
      <c r="B367" s="251"/>
      <c r="C367" s="252"/>
      <c r="D367" s="275"/>
      <c r="E367" s="215"/>
      <c r="F367" s="215"/>
      <c r="G367" s="216"/>
      <c r="H367" s="112"/>
      <c r="I367" s="217"/>
      <c r="J367" s="218"/>
      <c r="K367" s="218"/>
      <c r="L367" s="254"/>
      <c r="M367" s="213"/>
    </row>
    <row r="368" spans="1:13" ht="15.6" x14ac:dyDescent="0.3">
      <c r="B368" s="241" t="s">
        <v>163</v>
      </c>
      <c r="C368" s="239"/>
      <c r="D368" s="42"/>
      <c r="E368" s="239"/>
      <c r="F368" s="255"/>
      <c r="H368" s="132"/>
      <c r="I368" s="132"/>
      <c r="L368" s="93" t="s">
        <v>85</v>
      </c>
      <c r="M368" s="94"/>
    </row>
    <row r="369" spans="1:13" s="132" customFormat="1" ht="12" customHeight="1" x14ac:dyDescent="0.3">
      <c r="B369" s="59" t="s">
        <v>135</v>
      </c>
      <c r="C369" s="242"/>
      <c r="D369" s="266" t="s">
        <v>87</v>
      </c>
      <c r="E369" s="23"/>
      <c r="F369" s="133"/>
      <c r="H369" s="14"/>
      <c r="I369" s="14"/>
      <c r="J369" s="121"/>
      <c r="K369" s="121"/>
      <c r="L369" s="126" t="s">
        <v>88</v>
      </c>
      <c r="M369" s="243"/>
    </row>
    <row r="370" spans="1:13" s="132" customFormat="1" ht="12" customHeight="1" x14ac:dyDescent="0.3">
      <c r="B370" s="59" t="s">
        <v>141</v>
      </c>
      <c r="C370" s="25"/>
      <c r="D370" s="266" t="s">
        <v>89</v>
      </c>
      <c r="E370" s="23"/>
      <c r="J370" s="122"/>
      <c r="K370" s="121"/>
      <c r="L370" s="126" t="s">
        <v>90</v>
      </c>
      <c r="M370" s="243"/>
    </row>
    <row r="371" spans="1:13" s="132" customFormat="1" ht="12" customHeight="1" x14ac:dyDescent="0.3">
      <c r="B371" s="59" t="s">
        <v>142</v>
      </c>
      <c r="C371" s="27" t="str">
        <f>IF(C369="","",C369/E371+C370)</f>
        <v/>
      </c>
      <c r="D371" s="266" t="s">
        <v>91</v>
      </c>
      <c r="E371" s="23"/>
      <c r="I371" s="26"/>
      <c r="J371" s="29"/>
      <c r="K371" s="121"/>
      <c r="L371" s="126" t="s">
        <v>92</v>
      </c>
      <c r="M371" s="243"/>
    </row>
    <row r="372" spans="1:13" s="132" customFormat="1" ht="12" customHeight="1" x14ac:dyDescent="0.3">
      <c r="B372" s="59" t="s">
        <v>143</v>
      </c>
      <c r="C372" s="25"/>
      <c r="D372" s="266" t="s">
        <v>25</v>
      </c>
      <c r="E372" s="128">
        <f>SUM(C377:C381)</f>
        <v>0</v>
      </c>
      <c r="I372" s="26"/>
      <c r="J372" s="29"/>
      <c r="K372" s="121"/>
      <c r="L372" s="93" t="s">
        <v>94</v>
      </c>
      <c r="M372" s="94"/>
    </row>
    <row r="373" spans="1:13" s="132" customFormat="1" ht="12" customHeight="1" x14ac:dyDescent="0.3">
      <c r="B373" s="59" t="s">
        <v>144</v>
      </c>
      <c r="C373" s="25"/>
      <c r="D373" s="266" t="s">
        <v>44</v>
      </c>
      <c r="E373" s="244">
        <f>IF(E372=0,0,(C371/C372)/C373)</f>
        <v>0</v>
      </c>
      <c r="I373" s="26"/>
      <c r="J373" s="29"/>
      <c r="K373" s="121"/>
      <c r="L373" s="57" t="s">
        <v>70</v>
      </c>
      <c r="M373" s="58">
        <f>M9</f>
        <v>0.05</v>
      </c>
    </row>
    <row r="374" spans="1:13" s="132" customFormat="1" ht="12" customHeight="1" x14ac:dyDescent="0.3">
      <c r="B374" s="28"/>
      <c r="C374" s="122"/>
      <c r="D374" s="267"/>
      <c r="E374" s="211"/>
      <c r="I374" s="26"/>
      <c r="J374" s="29"/>
      <c r="K374" s="121"/>
      <c r="L374" s="57" t="s">
        <v>80</v>
      </c>
      <c r="M374" s="58">
        <f>M10</f>
        <v>0.05</v>
      </c>
    </row>
    <row r="375" spans="1:13" s="132" customFormat="1" ht="12" customHeight="1" x14ac:dyDescent="0.3">
      <c r="B375" s="28"/>
      <c r="C375" s="28"/>
      <c r="D375" s="43"/>
      <c r="H375" s="29"/>
      <c r="I375" s="29"/>
      <c r="J375" s="29"/>
      <c r="K375" s="29"/>
      <c r="L375" s="122"/>
      <c r="M375" s="122"/>
    </row>
    <row r="376" spans="1:13" s="132" customFormat="1" ht="27.6" x14ac:dyDescent="0.3">
      <c r="A376" s="246" t="s">
        <v>145</v>
      </c>
      <c r="B376" s="246" t="s">
        <v>70</v>
      </c>
      <c r="C376" s="48" t="s">
        <v>47</v>
      </c>
      <c r="D376" s="135" t="s">
        <v>97</v>
      </c>
      <c r="E376" s="48" t="s">
        <v>98</v>
      </c>
      <c r="F376" s="48" t="s">
        <v>99</v>
      </c>
      <c r="G376" s="48" t="s">
        <v>22</v>
      </c>
      <c r="H376" s="48" t="s">
        <v>23</v>
      </c>
      <c r="I376" s="48" t="s">
        <v>100</v>
      </c>
      <c r="J376" s="124"/>
      <c r="K376" s="48"/>
      <c r="L376" s="48" t="s">
        <v>101</v>
      </c>
      <c r="M376" s="48" t="s">
        <v>0</v>
      </c>
    </row>
    <row r="377" spans="1:13" s="132" customFormat="1" ht="12" customHeight="1" x14ac:dyDescent="0.3">
      <c r="A377" s="137"/>
      <c r="B377" s="71" t="str">
        <f>IF(A377="","",VLOOKUP(A377,'Database Lab+Equip'!$A:$D,2,FALSE))</f>
        <v/>
      </c>
      <c r="C377" s="139"/>
      <c r="D377" s="268"/>
      <c r="E377" s="140">
        <f>IF(A377="",0,VLOOKUP(A377,'Database Lab+Equip'!$A:$D,3,FALSE))</f>
        <v>0</v>
      </c>
      <c r="F377" s="140">
        <f>IF(A377="",0,VLOOKUP(A377,'Database Lab+Equip'!$A:$D,4,FALSE))</f>
        <v>0</v>
      </c>
      <c r="G377" s="140">
        <f>IF(A377="",0,C377*D377*E377*E$373)</f>
        <v>0</v>
      </c>
      <c r="H377" s="140">
        <f>IF(A377="",0,C377*D377*F377*E$373)</f>
        <v>0</v>
      </c>
      <c r="I377" s="140">
        <f>(H377*$M$373)+H377</f>
        <v>0</v>
      </c>
      <c r="J377" s="84"/>
      <c r="K377" s="29"/>
      <c r="L377" s="122"/>
      <c r="M377" s="84"/>
    </row>
    <row r="378" spans="1:13" s="132" customFormat="1" ht="12" customHeight="1" x14ac:dyDescent="0.3">
      <c r="A378" s="137"/>
      <c r="B378" s="71" t="str">
        <f>IF(A378="","",VLOOKUP(A378,'Database Lab+Equip'!$A:$D,2,FALSE))</f>
        <v/>
      </c>
      <c r="C378" s="142"/>
      <c r="D378" s="269"/>
      <c r="E378" s="140">
        <f>IF(A378="",0,VLOOKUP(A378,'Database Lab+Equip'!$A:$D,3,FALSE))</f>
        <v>0</v>
      </c>
      <c r="F378" s="140">
        <f>IF(A378="",0,VLOOKUP(A378,'Database Lab+Equip'!$A:$D,4,FALSE))</f>
        <v>0</v>
      </c>
      <c r="G378" s="140">
        <f>IF(A378="",0,C378*D378*E378*E$373)</f>
        <v>0</v>
      </c>
      <c r="H378" s="140">
        <f>IF(A378="",0,C378*D378*F378*E$373)</f>
        <v>0</v>
      </c>
      <c r="I378" s="140">
        <f>(H378*$M$373)+H378</f>
        <v>0</v>
      </c>
      <c r="J378" s="84"/>
      <c r="K378" s="29"/>
      <c r="L378" s="122"/>
      <c r="M378" s="122"/>
    </row>
    <row r="379" spans="1:13" s="132" customFormat="1" ht="12" customHeight="1" x14ac:dyDescent="0.3">
      <c r="A379" s="137"/>
      <c r="B379" s="71" t="str">
        <f>IF(A379="","",VLOOKUP(A379,'Database Lab+Equip'!$A:$D,2,FALSE))</f>
        <v/>
      </c>
      <c r="C379" s="142"/>
      <c r="D379" s="269"/>
      <c r="E379" s="140">
        <f>IF(A379="",0,VLOOKUP(A379,'Database Lab+Equip'!$A:$D,3,FALSE))</f>
        <v>0</v>
      </c>
      <c r="F379" s="140">
        <f>IF(A379="",0,VLOOKUP(A379,'Database Lab+Equip'!$A:$D,4,FALSE))</f>
        <v>0</v>
      </c>
      <c r="G379" s="140">
        <f>IF(A379="",0,C379*D379*E379*E$373)</f>
        <v>0</v>
      </c>
      <c r="H379" s="140">
        <f>IF(A379="",0,C379*D379*F379*E$373)</f>
        <v>0</v>
      </c>
      <c r="I379" s="140">
        <f>(H379*$M$373)+H379</f>
        <v>0</v>
      </c>
      <c r="J379" s="84"/>
      <c r="K379" s="29"/>
      <c r="L379" s="122"/>
      <c r="M379" s="122"/>
    </row>
    <row r="380" spans="1:13" s="132" customFormat="1" ht="12" customHeight="1" x14ac:dyDescent="0.3">
      <c r="A380" s="137"/>
      <c r="B380" s="71" t="str">
        <f>IF(A380="","",VLOOKUP(A380,'Database Lab+Equip'!$A:$D,2,FALSE))</f>
        <v/>
      </c>
      <c r="C380" s="142"/>
      <c r="D380" s="269"/>
      <c r="E380" s="140">
        <f>IF(A380="",0,VLOOKUP(A380,'Database Lab+Equip'!$A:$D,3,FALSE))</f>
        <v>0</v>
      </c>
      <c r="F380" s="140">
        <f>IF(A380="",0,VLOOKUP(A380,'Database Lab+Equip'!$A:$D,4,FALSE))</f>
        <v>0</v>
      </c>
      <c r="G380" s="140">
        <f>IF(A380="",0,C380*D380*E380*E$373)</f>
        <v>0</v>
      </c>
      <c r="H380" s="140">
        <f>IF(A380="",0,C380*D380*F380*E$373)</f>
        <v>0</v>
      </c>
      <c r="I380" s="140">
        <f>(H380*$M$373)+H380</f>
        <v>0</v>
      </c>
      <c r="J380" s="84"/>
      <c r="K380" s="29"/>
      <c r="L380" s="122"/>
      <c r="M380" s="122"/>
    </row>
    <row r="381" spans="1:13" s="132" customFormat="1" ht="12" customHeight="1" x14ac:dyDescent="0.3">
      <c r="A381" s="137"/>
      <c r="B381" s="71" t="str">
        <f>IF(A381="","",VLOOKUP(A381,'Database Lab+Equip'!$A:$D,2,FALSE))</f>
        <v/>
      </c>
      <c r="C381" s="142"/>
      <c r="D381" s="269"/>
      <c r="E381" s="140">
        <f>IF(A381="",0,VLOOKUP(A381,'Database Lab+Equip'!$A:$D,3,FALSE))</f>
        <v>0</v>
      </c>
      <c r="F381" s="140">
        <f>IF(A381="",0,VLOOKUP(A381,'Database Lab+Equip'!$A:$D,4,FALSE))</f>
        <v>0</v>
      </c>
      <c r="G381" s="140">
        <f>IF(A381="",0,C381*D381*E381*E$373)</f>
        <v>0</v>
      </c>
      <c r="H381" s="140">
        <f>IF(A381="",0,C381*D381*F381*E$373)</f>
        <v>0</v>
      </c>
      <c r="I381" s="140">
        <f>(H381*$M$373)+H381</f>
        <v>0</v>
      </c>
      <c r="J381" s="152" t="s">
        <v>108</v>
      </c>
      <c r="K381" s="153" t="s">
        <v>109</v>
      </c>
      <c r="L381" s="31"/>
      <c r="M381" s="123">
        <f>SUM(I377:I381)-SUM(G377:G381)</f>
        <v>0</v>
      </c>
    </row>
    <row r="382" spans="1:13" s="132" customFormat="1" ht="12" customHeight="1" x14ac:dyDescent="0.3">
      <c r="A382" s="35"/>
      <c r="C382" s="140"/>
      <c r="D382" s="270"/>
      <c r="E382" s="140"/>
      <c r="F382" s="140"/>
      <c r="G382" s="21">
        <f>SUM(G377:G381)</f>
        <v>0</v>
      </c>
      <c r="H382" s="21">
        <f>SUM(H377:H381)</f>
        <v>0</v>
      </c>
      <c r="I382" s="21">
        <f>SUM(I377:I381)</f>
        <v>0</v>
      </c>
      <c r="J382" s="21">
        <f>G382</f>
        <v>0</v>
      </c>
      <c r="K382" s="34">
        <f>I382</f>
        <v>0</v>
      </c>
      <c r="L382" s="247">
        <f>IF(J382=0,0,(K382-J382)/J382)</f>
        <v>0</v>
      </c>
      <c r="M382" s="122"/>
    </row>
    <row r="383" spans="1:13" s="132" customFormat="1" ht="12" customHeight="1" x14ac:dyDescent="0.3">
      <c r="A383" s="35"/>
      <c r="B383" s="71"/>
      <c r="C383" s="122"/>
      <c r="D383" s="265"/>
      <c r="E383" s="122"/>
      <c r="F383" s="122"/>
      <c r="G383" s="122"/>
      <c r="H383" s="122"/>
      <c r="I383" s="144"/>
      <c r="J383" s="84"/>
      <c r="K383" s="29"/>
      <c r="L383" s="122"/>
      <c r="M383" s="122"/>
    </row>
    <row r="384" spans="1:13" s="132" customFormat="1" ht="41.4" x14ac:dyDescent="0.3">
      <c r="A384" s="246" t="s">
        <v>96</v>
      </c>
      <c r="B384" s="246" t="s">
        <v>80</v>
      </c>
      <c r="C384" s="48" t="s">
        <v>47</v>
      </c>
      <c r="D384" s="135" t="s">
        <v>110</v>
      </c>
      <c r="E384" s="48" t="s">
        <v>98</v>
      </c>
      <c r="F384" s="48" t="s">
        <v>99</v>
      </c>
      <c r="G384" s="48" t="s">
        <v>22</v>
      </c>
      <c r="H384" s="48" t="s">
        <v>23</v>
      </c>
      <c r="I384" s="48" t="s">
        <v>100</v>
      </c>
      <c r="J384" s="145"/>
      <c r="K384" s="48"/>
      <c r="L384" s="124"/>
      <c r="M384" s="124"/>
    </row>
    <row r="385" spans="1:13" s="132" customFormat="1" ht="12" customHeight="1" x14ac:dyDescent="0.3">
      <c r="A385" s="148"/>
      <c r="B385" s="71" t="str">
        <f>IF(A385="","",VLOOKUP(A385,'Database Lab+Equip'!$F:$I,2,FALSE))</f>
        <v/>
      </c>
      <c r="C385" s="139"/>
      <c r="D385" s="271"/>
      <c r="E385" s="140">
        <f>IF(A385="",0,VLOOKUP(A385,'Database Lab+Equip'!$F:$I,3,FALSE))</f>
        <v>0</v>
      </c>
      <c r="F385" s="140">
        <f>IF(A385="",0,VLOOKUP(A385,'Database Lab+Equip'!$F:$I,4,FALSE))</f>
        <v>0</v>
      </c>
      <c r="G385" s="140">
        <f>IF(A385="",0,C385*D385*E385*E$373)</f>
        <v>0</v>
      </c>
      <c r="H385" s="140">
        <f>IF(A385="",0,C385*D385*F385*E$373)</f>
        <v>0</v>
      </c>
      <c r="I385" s="140">
        <f>(H385*$M$374)+H385</f>
        <v>0</v>
      </c>
      <c r="J385" s="84"/>
      <c r="K385" s="29"/>
      <c r="L385" s="122"/>
      <c r="M385" s="84"/>
    </row>
    <row r="386" spans="1:13" s="132" customFormat="1" ht="12" customHeight="1" x14ac:dyDescent="0.3">
      <c r="A386" s="148"/>
      <c r="B386" s="71" t="str">
        <f>IF(A386="","",VLOOKUP(A386,'Database Lab+Equip'!$F:$I,2,FALSE))</f>
        <v/>
      </c>
      <c r="C386" s="142"/>
      <c r="D386" s="272"/>
      <c r="E386" s="140">
        <f>IF(A386="",0,VLOOKUP(A386,'Database Lab+Equip'!$F:$I,3,FALSE))</f>
        <v>0</v>
      </c>
      <c r="F386" s="140">
        <f>IF(A386="",0,VLOOKUP(A386,'Database Lab+Equip'!$F:$I,4,FALSE))</f>
        <v>0</v>
      </c>
      <c r="G386" s="140">
        <f t="shared" ref="G386:G392" si="39">IF(A386="",0,C386*D386*E386*E$373)</f>
        <v>0</v>
      </c>
      <c r="H386" s="140">
        <f t="shared" ref="H386:H392" si="40">IF(A386="",0,C386*D386*F386*E$373)</f>
        <v>0</v>
      </c>
      <c r="I386" s="140">
        <f t="shared" ref="I386:I392" si="41">(H386*$M$374)+H386</f>
        <v>0</v>
      </c>
      <c r="J386" s="122"/>
      <c r="K386" s="29"/>
      <c r="L386" s="122"/>
      <c r="M386" s="122"/>
    </row>
    <row r="387" spans="1:13" s="132" customFormat="1" ht="12" customHeight="1" x14ac:dyDescent="0.3">
      <c r="A387" s="148"/>
      <c r="B387" s="71" t="str">
        <f>IF(A387="","",VLOOKUP(A387,'Database Lab+Equip'!$F:$I,2,FALSE))</f>
        <v/>
      </c>
      <c r="C387" s="142"/>
      <c r="D387" s="272"/>
      <c r="E387" s="140">
        <f>IF(A387="",0,VLOOKUP(A387,'Database Lab+Equip'!$F:$I,3,FALSE))</f>
        <v>0</v>
      </c>
      <c r="F387" s="140">
        <f>IF(A387="",0,VLOOKUP(A387,'Database Lab+Equip'!$F:$I,4,FALSE))</f>
        <v>0</v>
      </c>
      <c r="G387" s="140">
        <f t="shared" si="39"/>
        <v>0</v>
      </c>
      <c r="H387" s="140">
        <f t="shared" si="40"/>
        <v>0</v>
      </c>
      <c r="I387" s="140">
        <f t="shared" si="41"/>
        <v>0</v>
      </c>
      <c r="J387" s="84"/>
      <c r="K387" s="29"/>
      <c r="L387" s="122"/>
      <c r="M387" s="122"/>
    </row>
    <row r="388" spans="1:13" s="132" customFormat="1" ht="12" customHeight="1" x14ac:dyDescent="0.3">
      <c r="A388" s="148"/>
      <c r="B388" s="71" t="str">
        <f>IF(A388="","",VLOOKUP(A388,'Database Lab+Equip'!$F:$I,2,FALSE))</f>
        <v/>
      </c>
      <c r="C388" s="142"/>
      <c r="D388" s="272"/>
      <c r="E388" s="140">
        <f>IF(A388="",0,VLOOKUP(A388,'Database Lab+Equip'!$F:$I,3,FALSE))</f>
        <v>0</v>
      </c>
      <c r="F388" s="140">
        <f>IF(A388="",0,VLOOKUP(A388,'Database Lab+Equip'!$F:$I,4,FALSE))</f>
        <v>0</v>
      </c>
      <c r="G388" s="140">
        <f t="shared" si="39"/>
        <v>0</v>
      </c>
      <c r="H388" s="140">
        <f t="shared" si="40"/>
        <v>0</v>
      </c>
      <c r="I388" s="140">
        <f t="shared" si="41"/>
        <v>0</v>
      </c>
      <c r="J388" s="84"/>
      <c r="K388" s="29"/>
      <c r="L388" s="122"/>
      <c r="M388" s="122"/>
    </row>
    <row r="389" spans="1:13" s="132" customFormat="1" ht="12" customHeight="1" x14ac:dyDescent="0.3">
      <c r="A389" s="148"/>
      <c r="B389" s="71" t="str">
        <f>IF(A389="","",VLOOKUP(A389,'Database Lab+Equip'!$F:$I,2,FALSE))</f>
        <v/>
      </c>
      <c r="C389" s="142"/>
      <c r="D389" s="272"/>
      <c r="E389" s="140">
        <f>IF(A389="",0,VLOOKUP(A389,'Database Lab+Equip'!$F:$I,3,FALSE))</f>
        <v>0</v>
      </c>
      <c r="F389" s="140">
        <f>IF(A389="",0,VLOOKUP(A389,'Database Lab+Equip'!$F:$I,4,FALSE))</f>
        <v>0</v>
      </c>
      <c r="G389" s="140">
        <f t="shared" si="39"/>
        <v>0</v>
      </c>
      <c r="H389" s="140">
        <f t="shared" si="40"/>
        <v>0</v>
      </c>
      <c r="I389" s="140">
        <f t="shared" si="41"/>
        <v>0</v>
      </c>
      <c r="J389" s="84"/>
      <c r="K389" s="29"/>
      <c r="L389" s="122"/>
      <c r="M389" s="122"/>
    </row>
    <row r="390" spans="1:13" s="132" customFormat="1" ht="12" customHeight="1" x14ac:dyDescent="0.3">
      <c r="A390" s="148"/>
      <c r="B390" s="71" t="str">
        <f>IF(A390="","",VLOOKUP(A390,'Database Lab+Equip'!$F:$I,2,FALSE))</f>
        <v/>
      </c>
      <c r="C390" s="142"/>
      <c r="D390" s="272"/>
      <c r="E390" s="140">
        <f>IF(A390="",0,VLOOKUP(A390,'Database Lab+Equip'!$F:$I,3,FALSE))</f>
        <v>0</v>
      </c>
      <c r="F390" s="140">
        <f>IF(A390="",0,VLOOKUP(A390,'Database Lab+Equip'!$F:$I,4,FALSE))</f>
        <v>0</v>
      </c>
      <c r="G390" s="140">
        <f t="shared" si="39"/>
        <v>0</v>
      </c>
      <c r="H390" s="140">
        <f t="shared" si="40"/>
        <v>0</v>
      </c>
      <c r="I390" s="140">
        <f t="shared" si="41"/>
        <v>0</v>
      </c>
      <c r="J390" s="84"/>
      <c r="K390" s="29"/>
      <c r="L390" s="122"/>
      <c r="M390" s="122"/>
    </row>
    <row r="391" spans="1:13" s="132" customFormat="1" ht="12" customHeight="1" x14ac:dyDescent="0.3">
      <c r="A391" s="148"/>
      <c r="B391" s="71" t="str">
        <f>IF(A391="","",VLOOKUP(A391,'Database Lab+Equip'!$F:$I,2,FALSE))</f>
        <v/>
      </c>
      <c r="C391" s="150"/>
      <c r="D391" s="273"/>
      <c r="E391" s="140">
        <f>IF(A391="",0,VLOOKUP(A391,'Database Lab+Equip'!$F:$I,3,FALSE))</f>
        <v>0</v>
      </c>
      <c r="F391" s="140">
        <f>IF(A391="",0,VLOOKUP(A391,'Database Lab+Equip'!$F:$I,4,FALSE))</f>
        <v>0</v>
      </c>
      <c r="G391" s="140">
        <f t="shared" si="39"/>
        <v>0</v>
      </c>
      <c r="H391" s="140">
        <f t="shared" si="40"/>
        <v>0</v>
      </c>
      <c r="I391" s="140">
        <f t="shared" si="41"/>
        <v>0</v>
      </c>
      <c r="J391" s="84"/>
      <c r="K391" s="29"/>
      <c r="L391" s="122"/>
      <c r="M391" s="122"/>
    </row>
    <row r="392" spans="1:13" s="132" customFormat="1" ht="12" customHeight="1" x14ac:dyDescent="0.3">
      <c r="A392" s="148"/>
      <c r="B392" s="71" t="str">
        <f>IF(A392="","",VLOOKUP(A392,'Database Lab+Equip'!$F:$I,2,FALSE))</f>
        <v/>
      </c>
      <c r="C392" s="150"/>
      <c r="D392" s="273"/>
      <c r="E392" s="140">
        <f>IF(A392="",0,VLOOKUP(A392,'Database Lab+Equip'!$F:$I,3,FALSE))</f>
        <v>0</v>
      </c>
      <c r="F392" s="140">
        <f>IF(A392="",0,VLOOKUP(A392,'Database Lab+Equip'!$F:$I,4,FALSE))</f>
        <v>0</v>
      </c>
      <c r="G392" s="140">
        <f t="shared" si="39"/>
        <v>0</v>
      </c>
      <c r="H392" s="140">
        <f t="shared" si="40"/>
        <v>0</v>
      </c>
      <c r="I392" s="140">
        <f t="shared" si="41"/>
        <v>0</v>
      </c>
      <c r="J392" s="152" t="s">
        <v>108</v>
      </c>
      <c r="K392" s="153" t="s">
        <v>109</v>
      </c>
      <c r="L392" s="31"/>
      <c r="M392" s="125">
        <f>SUM(I385:I392)-SUM(G385:G392)</f>
        <v>0</v>
      </c>
    </row>
    <row r="393" spans="1:13" s="132" customFormat="1" ht="12" customHeight="1" x14ac:dyDescent="0.3">
      <c r="A393" s="72"/>
      <c r="B393" s="71"/>
      <c r="D393" s="265"/>
      <c r="E393" s="122"/>
      <c r="F393" s="122"/>
      <c r="G393" s="21">
        <f>SUM(G385:G392)</f>
        <v>0</v>
      </c>
      <c r="H393" s="21">
        <f>SUM(H385:H392)</f>
        <v>0</v>
      </c>
      <c r="I393" s="21">
        <f>SUM(I385:I392)</f>
        <v>0</v>
      </c>
      <c r="J393" s="21">
        <f>G393</f>
        <v>0</v>
      </c>
      <c r="K393" s="34">
        <f>I393</f>
        <v>0</v>
      </c>
      <c r="L393" s="256">
        <f>IF(J393=0,0,(K393-J393)/J393)</f>
        <v>0</v>
      </c>
      <c r="M393" s="187">
        <f>M381+M392</f>
        <v>0</v>
      </c>
    </row>
    <row r="394" spans="1:13" s="31" customFormat="1" ht="13.8" x14ac:dyDescent="0.3">
      <c r="A394" s="110"/>
      <c r="B394" s="257"/>
      <c r="C394" s="258"/>
      <c r="D394" s="274"/>
      <c r="E394" s="117"/>
      <c r="F394" s="117"/>
      <c r="G394" s="118"/>
      <c r="H394" s="110"/>
      <c r="I394" s="161"/>
      <c r="J394" s="162">
        <f>J382+J393</f>
        <v>0</v>
      </c>
      <c r="K394" s="162">
        <f>K382+K393</f>
        <v>0</v>
      </c>
      <c r="L394" s="259">
        <f>IF(J394=0,0,(K394-J394)/K394)</f>
        <v>0</v>
      </c>
      <c r="M394" s="173"/>
    </row>
  </sheetData>
  <dataConsolidate link="1"/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headerFooter>
    <oddHeader>&amp;C&amp;"Calibri,Bold"&amp;11&amp;UBudget Estimate Template&amp;R&amp;G</oddHeader>
    <oddFooter>&amp;L&amp;F - &amp;A&amp;CPage &amp;P of &amp;N&amp;R&amp;D</oddFooter>
  </headerFooter>
  <rowBreaks count="2" manualBreakCount="2">
    <brk id="30" max="16383" man="1"/>
    <brk id="8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90" yWindow="448" count="2">
        <x14:dataValidation type="list" allowBlank="1" error="Enter new labour resources in the database page." xr:uid="{00000000-0002-0000-0600-000000000000}">
          <x14:formula1>
            <xm:f>'Database Lab+Equip'!$A:$A</xm:f>
          </x14:formula1>
          <xm:sqref>A13:A17 A97:A101 A209:A213 A69:A73 A265:A269 A181:A185 A237:A241 A293:A297 A349:A353 A377:A381 A153:A157 A125:A129 A41:A45 A321:A325</xm:sqref>
        </x14:dataValidation>
        <x14:dataValidation type="list" allowBlank="1" error="Enter equipment resources in the database page." xr:uid="{00000000-0002-0000-0600-00000A000000}">
          <x14:formula1>
            <xm:f>'Database Lab+Equip'!$F:$F</xm:f>
          </x14:formula1>
          <xm:sqref>A385:A392 A77:A84 A133:A140 A357:A364 A105:A112 A49:A56 A21:A28 A189:A196 A217:A224 A245:A252 A273:A280 A161:A168 A301:A308 A329:A336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50"/>
    <pageSetUpPr fitToPage="1"/>
  </sheetPr>
  <dimension ref="A1:N394"/>
  <sheetViews>
    <sheetView zoomScale="85" zoomScaleNormal="85" workbookViewId="0">
      <pane ySplit="2" topLeftCell="A25" activePane="bottomLeft" state="frozen"/>
      <selection activeCell="E371" sqref="E371"/>
      <selection pane="bottomLeft" activeCell="P97" sqref="P97"/>
    </sheetView>
  </sheetViews>
  <sheetFormatPr defaultColWidth="9.21875" defaultRowHeight="12" customHeight="1" x14ac:dyDescent="0.3"/>
  <cols>
    <col min="1" max="1" width="20.77734375" style="72" customWidth="1"/>
    <col min="2" max="2" width="31.77734375" style="143" customWidth="1"/>
    <col min="3" max="3" width="12.77734375" style="130" customWidth="1"/>
    <col min="4" max="4" width="10.44140625" style="265" customWidth="1"/>
    <col min="5" max="6" width="10.21875" style="122" bestFit="1" customWidth="1"/>
    <col min="7" max="9" width="14.5546875" style="122" customWidth="1"/>
    <col min="10" max="11" width="14.5546875" style="132" customWidth="1"/>
    <col min="12" max="12" width="11.21875" style="132" customWidth="1"/>
    <col min="13" max="13" width="39.44140625" style="132" customWidth="1"/>
    <col min="14" max="14" width="9.21875" style="132" customWidth="1"/>
    <col min="15" max="16384" width="9.21875" style="131"/>
  </cols>
  <sheetData>
    <row r="1" spans="1:13" ht="15.6" x14ac:dyDescent="0.3">
      <c r="B1" s="46" t="s">
        <v>164</v>
      </c>
    </row>
    <row r="2" spans="1:13" ht="14.4" x14ac:dyDescent="0.3">
      <c r="B2" s="35"/>
    </row>
    <row r="3" spans="1:13" s="31" customFormat="1" ht="13.8" x14ac:dyDescent="0.3">
      <c r="A3" s="112"/>
      <c r="B3" s="223"/>
      <c r="C3" s="214"/>
      <c r="D3" s="275"/>
      <c r="E3" s="215"/>
      <c r="F3" s="215"/>
      <c r="G3" s="216"/>
      <c r="H3" s="112"/>
      <c r="I3" s="217"/>
      <c r="J3" s="218"/>
      <c r="K3" s="218"/>
      <c r="L3" s="224"/>
      <c r="M3" s="213"/>
    </row>
    <row r="4" spans="1:13" ht="15.6" x14ac:dyDescent="0.3">
      <c r="B4" s="241" t="s">
        <v>165</v>
      </c>
      <c r="C4" s="42"/>
      <c r="D4" s="42"/>
      <c r="E4" s="42"/>
      <c r="F4" s="129"/>
      <c r="H4" s="132"/>
      <c r="I4" s="132"/>
      <c r="L4" s="221" t="s">
        <v>85</v>
      </c>
      <c r="M4" s="222"/>
    </row>
    <row r="5" spans="1:13" s="132" customFormat="1" ht="12" customHeight="1" x14ac:dyDescent="0.3">
      <c r="A5" s="72"/>
      <c r="B5" s="24" t="s">
        <v>135</v>
      </c>
      <c r="C5" s="22"/>
      <c r="D5" s="266" t="s">
        <v>87</v>
      </c>
      <c r="E5" s="23"/>
      <c r="F5" s="133"/>
      <c r="H5" s="14"/>
      <c r="I5" s="14"/>
      <c r="J5" s="14"/>
      <c r="K5" s="14"/>
      <c r="L5" s="219" t="s">
        <v>88</v>
      </c>
      <c r="M5" s="220"/>
    </row>
    <row r="6" spans="1:13" s="132" customFormat="1" ht="12" customHeight="1" x14ac:dyDescent="0.3">
      <c r="A6" s="72"/>
      <c r="B6" s="24" t="s">
        <v>141</v>
      </c>
      <c r="C6" s="25"/>
      <c r="D6" s="266" t="s">
        <v>89</v>
      </c>
      <c r="E6" s="23"/>
      <c r="K6" s="14"/>
      <c r="L6" s="126" t="s">
        <v>90</v>
      </c>
      <c r="M6" s="127"/>
    </row>
    <row r="7" spans="1:13" s="132" customFormat="1" ht="12" customHeight="1" x14ac:dyDescent="0.3">
      <c r="A7" s="72"/>
      <c r="B7" s="24" t="s">
        <v>142</v>
      </c>
      <c r="C7" s="27" t="str">
        <f>IF(C5="","",C5/E7+C6)</f>
        <v/>
      </c>
      <c r="D7" s="266" t="s">
        <v>91</v>
      </c>
      <c r="E7" s="23"/>
      <c r="I7" s="26"/>
      <c r="J7" s="26"/>
      <c r="K7" s="14"/>
      <c r="L7" s="126" t="s">
        <v>92</v>
      </c>
      <c r="M7" s="127"/>
    </row>
    <row r="8" spans="1:13" s="132" customFormat="1" ht="12" customHeight="1" x14ac:dyDescent="0.3">
      <c r="A8" s="72"/>
      <c r="B8" s="59" t="s">
        <v>143</v>
      </c>
      <c r="C8" s="260"/>
      <c r="D8" s="266" t="s">
        <v>25</v>
      </c>
      <c r="E8" s="128">
        <f>SUM(C13:C17)</f>
        <v>0</v>
      </c>
      <c r="I8" s="26"/>
      <c r="J8" s="26"/>
      <c r="K8" s="14"/>
      <c r="L8" s="93" t="s">
        <v>94</v>
      </c>
      <c r="M8" s="94"/>
    </row>
    <row r="9" spans="1:13" s="132" customFormat="1" ht="12" customHeight="1" x14ac:dyDescent="0.3">
      <c r="A9" s="72"/>
      <c r="B9" s="59" t="s">
        <v>144</v>
      </c>
      <c r="C9" s="25"/>
      <c r="D9" s="266" t="s">
        <v>44</v>
      </c>
      <c r="E9" s="244">
        <f>IF(E8=0,0,(C7/C8)/C9)</f>
        <v>0</v>
      </c>
      <c r="I9" s="26"/>
      <c r="J9" s="26"/>
      <c r="K9" s="14"/>
      <c r="L9" s="57" t="s">
        <v>70</v>
      </c>
      <c r="M9" s="58">
        <f>'Installation 1'!M9</f>
        <v>0.05</v>
      </c>
    </row>
    <row r="10" spans="1:13" s="132" customFormat="1" ht="12" customHeight="1" x14ac:dyDescent="0.3">
      <c r="A10" s="72"/>
      <c r="B10" s="28"/>
      <c r="C10" s="122"/>
      <c r="D10" s="267"/>
      <c r="E10" s="211"/>
      <c r="I10" s="26"/>
      <c r="J10" s="26"/>
      <c r="K10" s="14"/>
      <c r="L10" s="57" t="s">
        <v>80</v>
      </c>
      <c r="M10" s="58">
        <f>'Installation 1'!M10</f>
        <v>0.05</v>
      </c>
    </row>
    <row r="11" spans="1:13" s="132" customFormat="1" ht="12" customHeight="1" x14ac:dyDescent="0.3">
      <c r="A11" s="72"/>
      <c r="B11" s="28"/>
      <c r="C11" s="28"/>
      <c r="D11" s="43"/>
      <c r="H11" s="29"/>
      <c r="I11" s="29"/>
      <c r="J11" s="29"/>
      <c r="K11" s="29"/>
      <c r="M11" s="71"/>
    </row>
    <row r="12" spans="1:13" s="132" customFormat="1" ht="27.6" x14ac:dyDescent="0.3">
      <c r="A12" s="246" t="s">
        <v>145</v>
      </c>
      <c r="B12" s="246" t="s">
        <v>70</v>
      </c>
      <c r="C12" s="48" t="s">
        <v>47</v>
      </c>
      <c r="D12" s="135" t="s">
        <v>97</v>
      </c>
      <c r="E12" s="48" t="s">
        <v>98</v>
      </c>
      <c r="F12" s="48" t="s">
        <v>99</v>
      </c>
      <c r="G12" s="48" t="s">
        <v>22</v>
      </c>
      <c r="H12" s="48" t="s">
        <v>23</v>
      </c>
      <c r="I12" s="135" t="s">
        <v>100</v>
      </c>
      <c r="J12" s="136"/>
      <c r="K12" s="52"/>
      <c r="L12" s="48" t="s">
        <v>101</v>
      </c>
      <c r="M12" s="48" t="s">
        <v>0</v>
      </c>
    </row>
    <row r="13" spans="1:13" s="132" customFormat="1" ht="12" customHeight="1" x14ac:dyDescent="0.3">
      <c r="A13" s="137"/>
      <c r="B13" s="71" t="str">
        <f>IF(A13="","",VLOOKUP(A13,'Database Lab+Equip'!$A:$D,2,FALSE))</f>
        <v/>
      </c>
      <c r="C13" s="139"/>
      <c r="D13" s="268"/>
      <c r="E13" s="140">
        <f>IF(A13="",0,VLOOKUP(A13,'Database Lab+Equip'!$A:$D,3,FALSE))</f>
        <v>0</v>
      </c>
      <c r="F13" s="140">
        <f>IF(A13="",0,VLOOKUP(A13,'Database Lab+Equip'!$A:$D,4,FALSE))</f>
        <v>0</v>
      </c>
      <c r="G13" s="140">
        <f>IF(A13="",0,C13*D13*E13*E$9)</f>
        <v>0</v>
      </c>
      <c r="H13" s="140">
        <f>IF(A13="",0,C13*D13*F13*E$9)</f>
        <v>0</v>
      </c>
      <c r="I13" s="140">
        <f>(H13*$M$9)+H13</f>
        <v>0</v>
      </c>
      <c r="J13" s="154"/>
      <c r="K13" s="26"/>
      <c r="M13" s="84"/>
    </row>
    <row r="14" spans="1:13" s="132" customFormat="1" ht="12" customHeight="1" x14ac:dyDescent="0.3">
      <c r="A14" s="137"/>
      <c r="B14" s="71" t="str">
        <f>IF(A14="","",VLOOKUP(A14,'Database Lab+Equip'!$A:$D,2,FALSE))</f>
        <v/>
      </c>
      <c r="C14" s="142"/>
      <c r="D14" s="269"/>
      <c r="E14" s="140">
        <f>IF(A14="",0,VLOOKUP(A14,'Database Lab+Equip'!$A:$D,3,FALSE))</f>
        <v>0</v>
      </c>
      <c r="F14" s="140">
        <f>IF(A14="",0,VLOOKUP(A14,'Database Lab+Equip'!$A:$D,4,FALSE))</f>
        <v>0</v>
      </c>
      <c r="G14" s="140">
        <f>IF(A14="",0,C14*D14*E14*E$9)</f>
        <v>0</v>
      </c>
      <c r="H14" s="140">
        <f>IF(A14="",0,C14*D14*F14*E$9)</f>
        <v>0</v>
      </c>
      <c r="I14" s="140">
        <f>(H14*$M$9)+H14</f>
        <v>0</v>
      </c>
      <c r="J14" s="154"/>
      <c r="K14" s="26"/>
      <c r="M14" s="122"/>
    </row>
    <row r="15" spans="1:13" s="132" customFormat="1" ht="12" customHeight="1" x14ac:dyDescent="0.3">
      <c r="A15" s="137"/>
      <c r="B15" s="71" t="str">
        <f>IF(A15="","",VLOOKUP(A15,'Database Lab+Equip'!$A:$D,2,FALSE))</f>
        <v/>
      </c>
      <c r="C15" s="142"/>
      <c r="D15" s="269"/>
      <c r="E15" s="140">
        <f>IF(A15="",0,VLOOKUP(A15,'Database Lab+Equip'!$A:$D,3,FALSE))</f>
        <v>0</v>
      </c>
      <c r="F15" s="140">
        <f>IF(A15="",0,VLOOKUP(A15,'Database Lab+Equip'!$A:$D,4,FALSE))</f>
        <v>0</v>
      </c>
      <c r="G15" s="140">
        <f>IF(A15="",0,C15*D15*E15*E$9)</f>
        <v>0</v>
      </c>
      <c r="H15" s="140">
        <f>IF(A15="",0,C15*D15*F15*E$9)</f>
        <v>0</v>
      </c>
      <c r="I15" s="140">
        <f>(H15*$M$9)+H15</f>
        <v>0</v>
      </c>
      <c r="J15" s="154"/>
      <c r="K15" s="26"/>
      <c r="M15" s="122"/>
    </row>
    <row r="16" spans="1:13" s="132" customFormat="1" ht="12" customHeight="1" x14ac:dyDescent="0.3">
      <c r="A16" s="137"/>
      <c r="B16" s="71" t="str">
        <f>IF(A16="","",VLOOKUP(A16,'Database Lab+Equip'!$A:$D,2,FALSE))</f>
        <v/>
      </c>
      <c r="C16" s="142"/>
      <c r="D16" s="269"/>
      <c r="E16" s="140">
        <f>IF(A16="",0,VLOOKUP(A16,'Database Lab+Equip'!$A:$D,3,FALSE))</f>
        <v>0</v>
      </c>
      <c r="F16" s="140">
        <f>IF(A16="",0,VLOOKUP(A16,'Database Lab+Equip'!$A:$D,4,FALSE))</f>
        <v>0</v>
      </c>
      <c r="G16" s="140">
        <f>IF(A16="",0,C16*D16*E16*E$9)</f>
        <v>0</v>
      </c>
      <c r="H16" s="140">
        <f>IF(A16="",0,C16*D16*F16*E$9)</f>
        <v>0</v>
      </c>
      <c r="I16" s="140">
        <f>(H16*$M$9)+H16</f>
        <v>0</v>
      </c>
      <c r="J16" s="154"/>
      <c r="K16" s="26"/>
      <c r="M16" s="122"/>
    </row>
    <row r="17" spans="1:14" s="132" customFormat="1" ht="12" customHeight="1" x14ac:dyDescent="0.3">
      <c r="A17" s="137"/>
      <c r="B17" s="71" t="str">
        <f>IF(A17="","",VLOOKUP(A17,'Database Lab+Equip'!$A:$D,2,FALSE))</f>
        <v/>
      </c>
      <c r="C17" s="142"/>
      <c r="D17" s="269"/>
      <c r="E17" s="140">
        <f>IF(A17="",0,VLOOKUP(A17,'Database Lab+Equip'!$A:$D,3,FALSE))</f>
        <v>0</v>
      </c>
      <c r="F17" s="140">
        <f>IF(A17="",0,VLOOKUP(A17,'Database Lab+Equip'!$A:$D,4,FALSE))</f>
        <v>0</v>
      </c>
      <c r="G17" s="140">
        <f>IF(A17="",0,C17*D17*E17*E$9)</f>
        <v>0</v>
      </c>
      <c r="H17" s="140">
        <f>IF(A17="",0,C17*D17*F17*E$9)</f>
        <v>0</v>
      </c>
      <c r="I17" s="140">
        <f>(H17*$M$9)+H17</f>
        <v>0</v>
      </c>
      <c r="J17" s="152" t="s">
        <v>108</v>
      </c>
      <c r="K17" s="153" t="s">
        <v>109</v>
      </c>
      <c r="L17" s="31"/>
      <c r="M17" s="123">
        <f>SUM(I13:I17)-SUM(G13:G17)</f>
        <v>0</v>
      </c>
    </row>
    <row r="18" spans="1:14" s="132" customFormat="1" ht="12" customHeight="1" x14ac:dyDescent="0.3">
      <c r="A18" s="35"/>
      <c r="C18" s="140"/>
      <c r="D18" s="270"/>
      <c r="E18" s="140"/>
      <c r="F18" s="140"/>
      <c r="G18" s="21">
        <f>SUM(G13:G17)</f>
        <v>0</v>
      </c>
      <c r="H18" s="21">
        <f>SUM(H13:H17)</f>
        <v>0</v>
      </c>
      <c r="I18" s="21">
        <f>SUM(I13:I17)</f>
        <v>0</v>
      </c>
      <c r="J18" s="21">
        <f>G18</f>
        <v>0</v>
      </c>
      <c r="K18" s="34">
        <f>I18</f>
        <v>0</v>
      </c>
      <c r="L18" s="154">
        <f>IF(J18=0,0,(K18-J18)/J18)</f>
        <v>0</v>
      </c>
      <c r="M18" s="122"/>
    </row>
    <row r="19" spans="1:14" s="132" customFormat="1" ht="12" customHeight="1" x14ac:dyDescent="0.3">
      <c r="A19" s="35"/>
      <c r="B19" s="71"/>
      <c r="C19" s="122"/>
      <c r="D19" s="265"/>
      <c r="E19" s="122"/>
      <c r="F19" s="122"/>
      <c r="G19" s="122"/>
      <c r="H19" s="122"/>
      <c r="I19" s="144"/>
      <c r="J19" s="84"/>
      <c r="K19" s="29"/>
      <c r="L19" s="122"/>
      <c r="M19" s="122"/>
    </row>
    <row r="20" spans="1:14" s="132" customFormat="1" ht="41.4" x14ac:dyDescent="0.3">
      <c r="A20" s="246" t="s">
        <v>96</v>
      </c>
      <c r="B20" s="246" t="s">
        <v>80</v>
      </c>
      <c r="C20" s="48" t="s">
        <v>47</v>
      </c>
      <c r="D20" s="135" t="s">
        <v>110</v>
      </c>
      <c r="E20" s="48" t="s">
        <v>98</v>
      </c>
      <c r="F20" s="48" t="s">
        <v>99</v>
      </c>
      <c r="G20" s="48" t="s">
        <v>22</v>
      </c>
      <c r="H20" s="48" t="s">
        <v>23</v>
      </c>
      <c r="I20" s="135" t="s">
        <v>100</v>
      </c>
      <c r="J20" s="145"/>
      <c r="K20" s="48"/>
      <c r="L20" s="124"/>
      <c r="M20" s="124"/>
    </row>
    <row r="21" spans="1:14" s="132" customFormat="1" ht="12" customHeight="1" x14ac:dyDescent="0.3">
      <c r="A21" s="148"/>
      <c r="B21" s="71" t="str">
        <f>IF(A21="","",VLOOKUP(A21,'Database Lab+Equip'!$F:$I,2,FALSE))</f>
        <v/>
      </c>
      <c r="C21" s="139"/>
      <c r="D21" s="271"/>
      <c r="E21" s="140">
        <f>IF(A21="",0,VLOOKUP(A21,'Database Lab+Equip'!$F:$I,3,FALSE))</f>
        <v>0</v>
      </c>
      <c r="F21" s="140">
        <f>IF(A21="",0,VLOOKUP(A21,'Database Lab+Equip'!$F:$I,4,FALSE))</f>
        <v>0</v>
      </c>
      <c r="G21" s="140">
        <f>IF(A21="",0,C21*D21*E21*E$9)</f>
        <v>0</v>
      </c>
      <c r="H21" s="140">
        <f>IF(A21="",0,C21*D21*F21*E$9)</f>
        <v>0</v>
      </c>
      <c r="I21" s="140">
        <f>(H21*$M$10)+H21</f>
        <v>0</v>
      </c>
      <c r="J21" s="84"/>
      <c r="K21" s="29"/>
      <c r="L21" s="122"/>
      <c r="M21" s="84"/>
    </row>
    <row r="22" spans="1:14" s="132" customFormat="1" ht="12" customHeight="1" x14ac:dyDescent="0.3">
      <c r="A22" s="148"/>
      <c r="B22" s="71" t="str">
        <f>IF(A22="","",VLOOKUP(A22,'Database Lab+Equip'!$F:$I,2,FALSE))</f>
        <v/>
      </c>
      <c r="C22" s="142"/>
      <c r="D22" s="272"/>
      <c r="E22" s="140">
        <f>IF(A22="",0,VLOOKUP(A22,'Database Lab+Equip'!$F:$I,3,FALSE))</f>
        <v>0</v>
      </c>
      <c r="F22" s="140">
        <f>IF(A22="",0,VLOOKUP(A22,'Database Lab+Equip'!$F:$I,4,FALSE))</f>
        <v>0</v>
      </c>
      <c r="G22" s="140">
        <f t="shared" ref="G22:G28" si="0">IF(A22="",0,C22*D22*E22*E$9)</f>
        <v>0</v>
      </c>
      <c r="H22" s="140">
        <f t="shared" ref="H22:H28" si="1">IF(A22="",0,C22*D22*F22*E$9)</f>
        <v>0</v>
      </c>
      <c r="I22" s="140">
        <f t="shared" ref="I22:I28" si="2">(H22*$M$10)+H22</f>
        <v>0</v>
      </c>
      <c r="J22" s="122"/>
      <c r="K22" s="29"/>
      <c r="L22" s="122"/>
      <c r="M22" s="122"/>
    </row>
    <row r="23" spans="1:14" s="132" customFormat="1" ht="12" customHeight="1" x14ac:dyDescent="0.3">
      <c r="A23" s="148"/>
      <c r="B23" s="71" t="str">
        <f>IF(A23="","",VLOOKUP(A23,'Database Lab+Equip'!$F:$I,2,FALSE))</f>
        <v/>
      </c>
      <c r="C23" s="142"/>
      <c r="D23" s="272"/>
      <c r="E23" s="140">
        <f>IF(A23="",0,VLOOKUP(A23,'Database Lab+Equip'!$F:$I,3,FALSE))</f>
        <v>0</v>
      </c>
      <c r="F23" s="140">
        <f>IF(A23="",0,VLOOKUP(A23,'Database Lab+Equip'!$F:$I,4,FALSE))</f>
        <v>0</v>
      </c>
      <c r="G23" s="140">
        <f t="shared" si="0"/>
        <v>0</v>
      </c>
      <c r="H23" s="140">
        <f t="shared" si="1"/>
        <v>0</v>
      </c>
      <c r="I23" s="140">
        <f t="shared" si="2"/>
        <v>0</v>
      </c>
      <c r="J23" s="84"/>
      <c r="K23" s="29"/>
      <c r="L23" s="122"/>
      <c r="M23" s="122"/>
    </row>
    <row r="24" spans="1:14" s="132" customFormat="1" ht="12" customHeight="1" x14ac:dyDescent="0.3">
      <c r="A24" s="148"/>
      <c r="B24" s="71" t="str">
        <f>IF(A24="","",VLOOKUP(A24,'Database Lab+Equip'!$F:$I,2,FALSE))</f>
        <v/>
      </c>
      <c r="C24" s="142"/>
      <c r="D24" s="272"/>
      <c r="E24" s="140">
        <f>IF(A24="",0,VLOOKUP(A24,'Database Lab+Equip'!$F:$I,3,FALSE))</f>
        <v>0</v>
      </c>
      <c r="F24" s="140">
        <f>IF(A24="",0,VLOOKUP(A24,'Database Lab+Equip'!$F:$I,4,FALSE))</f>
        <v>0</v>
      </c>
      <c r="G24" s="140">
        <f t="shared" si="0"/>
        <v>0</v>
      </c>
      <c r="H24" s="140">
        <f t="shared" si="1"/>
        <v>0</v>
      </c>
      <c r="I24" s="140">
        <f t="shared" si="2"/>
        <v>0</v>
      </c>
      <c r="J24" s="84"/>
      <c r="K24" s="29"/>
      <c r="L24" s="122"/>
      <c r="M24" s="122"/>
    </row>
    <row r="25" spans="1:14" s="132" customFormat="1" ht="12" customHeight="1" x14ac:dyDescent="0.3">
      <c r="A25" s="148"/>
      <c r="B25" s="71" t="str">
        <f>IF(A25="","",VLOOKUP(A25,'Database Lab+Equip'!$F:$I,2,FALSE))</f>
        <v/>
      </c>
      <c r="C25" s="142"/>
      <c r="D25" s="272"/>
      <c r="E25" s="140">
        <f>IF(A25="",0,VLOOKUP(A25,'Database Lab+Equip'!$F:$I,3,FALSE))</f>
        <v>0</v>
      </c>
      <c r="F25" s="140">
        <f>IF(A25="",0,VLOOKUP(A25,'Database Lab+Equip'!$F:$I,4,FALSE))</f>
        <v>0</v>
      </c>
      <c r="G25" s="140">
        <f t="shared" si="0"/>
        <v>0</v>
      </c>
      <c r="H25" s="140">
        <f t="shared" si="1"/>
        <v>0</v>
      </c>
      <c r="I25" s="140">
        <f t="shared" si="2"/>
        <v>0</v>
      </c>
      <c r="J25" s="84"/>
      <c r="K25" s="29"/>
      <c r="L25" s="122"/>
      <c r="M25" s="122"/>
    </row>
    <row r="26" spans="1:14" s="132" customFormat="1" ht="12" customHeight="1" x14ac:dyDescent="0.3">
      <c r="A26" s="148"/>
      <c r="B26" s="71" t="str">
        <f>IF(A26="","",VLOOKUP(A26,'Database Lab+Equip'!$F:$I,2,FALSE))</f>
        <v/>
      </c>
      <c r="C26" s="142"/>
      <c r="D26" s="272"/>
      <c r="E26" s="140">
        <f>IF(A26="",0,VLOOKUP(A26,'Database Lab+Equip'!$F:$I,3,FALSE))</f>
        <v>0</v>
      </c>
      <c r="F26" s="140">
        <f>IF(A26="",0,VLOOKUP(A26,'Database Lab+Equip'!$F:$I,4,FALSE))</f>
        <v>0</v>
      </c>
      <c r="G26" s="140">
        <f t="shared" si="0"/>
        <v>0</v>
      </c>
      <c r="H26" s="140">
        <f t="shared" si="1"/>
        <v>0</v>
      </c>
      <c r="I26" s="140">
        <f t="shared" si="2"/>
        <v>0</v>
      </c>
      <c r="J26" s="84"/>
      <c r="K26" s="29"/>
      <c r="L26" s="122"/>
      <c r="M26" s="122"/>
    </row>
    <row r="27" spans="1:14" s="132" customFormat="1" ht="12" customHeight="1" x14ac:dyDescent="0.3">
      <c r="A27" s="148"/>
      <c r="B27" s="71" t="str">
        <f>IF(A27="","",VLOOKUP(A27,'Database Lab+Equip'!$F:$I,2,FALSE))</f>
        <v/>
      </c>
      <c r="C27" s="150"/>
      <c r="D27" s="273"/>
      <c r="E27" s="140">
        <f>IF(A27="",0,VLOOKUP(A27,'Database Lab+Equip'!$F:$I,3,FALSE))</f>
        <v>0</v>
      </c>
      <c r="F27" s="140">
        <f>IF(A27="",0,VLOOKUP(A27,'Database Lab+Equip'!$F:$I,4,FALSE))</f>
        <v>0</v>
      </c>
      <c r="G27" s="140">
        <f t="shared" si="0"/>
        <v>0</v>
      </c>
      <c r="H27" s="140">
        <f t="shared" si="1"/>
        <v>0</v>
      </c>
      <c r="I27" s="140">
        <f t="shared" si="2"/>
        <v>0</v>
      </c>
      <c r="J27" s="84"/>
      <c r="K27" s="29"/>
      <c r="L27" s="122"/>
      <c r="M27" s="122"/>
    </row>
    <row r="28" spans="1:14" s="132" customFormat="1" ht="12" customHeight="1" x14ac:dyDescent="0.3">
      <c r="A28" s="148"/>
      <c r="B28" s="71" t="str">
        <f>IF(A28="","",VLOOKUP(A28,'Database Lab+Equip'!$F:$I,2,FALSE))</f>
        <v/>
      </c>
      <c r="C28" s="150"/>
      <c r="D28" s="273"/>
      <c r="E28" s="140">
        <f>IF(A28="",0,VLOOKUP(A28,'Database Lab+Equip'!$F:$I,3,FALSE))</f>
        <v>0</v>
      </c>
      <c r="F28" s="140">
        <f>IF(A28="",0,VLOOKUP(A28,'Database Lab+Equip'!$F:$I,4,FALSE))</f>
        <v>0</v>
      </c>
      <c r="G28" s="140">
        <f t="shared" si="0"/>
        <v>0</v>
      </c>
      <c r="H28" s="140">
        <f t="shared" si="1"/>
        <v>0</v>
      </c>
      <c r="I28" s="140">
        <f t="shared" si="2"/>
        <v>0</v>
      </c>
      <c r="J28" s="152" t="s">
        <v>108</v>
      </c>
      <c r="K28" s="153" t="s">
        <v>109</v>
      </c>
      <c r="L28" s="31"/>
      <c r="M28" s="125">
        <f>SUM(I21:I28)-SUM(G21:G28)</f>
        <v>0</v>
      </c>
    </row>
    <row r="29" spans="1:14" s="132" customFormat="1" ht="12" customHeight="1" x14ac:dyDescent="0.3">
      <c r="A29" s="72"/>
      <c r="B29" s="143"/>
      <c r="C29" s="130"/>
      <c r="D29" s="265"/>
      <c r="E29" s="122"/>
      <c r="F29" s="122"/>
      <c r="G29" s="21">
        <f>SUM(G21:G28)</f>
        <v>0</v>
      </c>
      <c r="H29" s="21">
        <f>SUM(H21:H28)</f>
        <v>0</v>
      </c>
      <c r="I29" s="21">
        <f>SUM(I21:I28)</f>
        <v>0</v>
      </c>
      <c r="J29" s="21">
        <f>G29</f>
        <v>0</v>
      </c>
      <c r="K29" s="34">
        <f>I29</f>
        <v>0</v>
      </c>
      <c r="L29" s="154">
        <f>IF(J29=0,0,(K29-J29)/J29)</f>
        <v>0</v>
      </c>
      <c r="M29" s="187">
        <f>M17+M28</f>
        <v>0</v>
      </c>
    </row>
    <row r="30" spans="1:14" s="31" customFormat="1" ht="13.8" x14ac:dyDescent="0.3">
      <c r="A30" s="110"/>
      <c r="B30" s="115"/>
      <c r="C30" s="116"/>
      <c r="D30" s="274"/>
      <c r="E30" s="117"/>
      <c r="F30" s="117"/>
      <c r="G30" s="118"/>
      <c r="H30" s="110"/>
      <c r="I30" s="161"/>
      <c r="J30" s="162">
        <f>J18+J29</f>
        <v>0</v>
      </c>
      <c r="K30" s="162">
        <f>K18+K29</f>
        <v>0</v>
      </c>
      <c r="L30" s="119">
        <f>IF(J30=0,0,(K30-J30)/K30)</f>
        <v>0</v>
      </c>
      <c r="M30" s="173"/>
    </row>
    <row r="31" spans="1:14" s="31" customFormat="1" ht="13.8" x14ac:dyDescent="0.3">
      <c r="A31" s="112"/>
      <c r="B31" s="223"/>
      <c r="C31" s="214"/>
      <c r="D31" s="275"/>
      <c r="E31" s="215"/>
      <c r="F31" s="215"/>
      <c r="G31" s="216"/>
      <c r="H31" s="112"/>
      <c r="I31" s="217"/>
      <c r="J31" s="218"/>
      <c r="K31" s="218"/>
      <c r="L31" s="224"/>
      <c r="M31" s="213"/>
    </row>
    <row r="32" spans="1:14" ht="15.6" x14ac:dyDescent="0.3">
      <c r="B32" s="241" t="s">
        <v>166</v>
      </c>
      <c r="C32" s="42"/>
      <c r="D32" s="42"/>
      <c r="E32" s="42"/>
      <c r="F32" s="129"/>
      <c r="H32" s="132"/>
      <c r="I32" s="132"/>
      <c r="L32" s="221" t="s">
        <v>85</v>
      </c>
      <c r="M32" s="222"/>
      <c r="N32" s="131"/>
    </row>
    <row r="33" spans="1:13" s="132" customFormat="1" ht="12" customHeight="1" x14ac:dyDescent="0.3">
      <c r="A33" s="72"/>
      <c r="B33" s="24" t="s">
        <v>135</v>
      </c>
      <c r="C33" s="22"/>
      <c r="D33" s="266" t="s">
        <v>87</v>
      </c>
      <c r="E33" s="23"/>
      <c r="F33" s="133"/>
      <c r="H33" s="14"/>
      <c r="I33" s="14"/>
      <c r="J33" s="14"/>
      <c r="K33" s="14"/>
      <c r="L33" s="219" t="s">
        <v>88</v>
      </c>
      <c r="M33" s="220"/>
    </row>
    <row r="34" spans="1:13" s="132" customFormat="1" ht="12" customHeight="1" x14ac:dyDescent="0.3">
      <c r="A34" s="72"/>
      <c r="B34" s="24" t="s">
        <v>141</v>
      </c>
      <c r="C34" s="25"/>
      <c r="D34" s="266" t="s">
        <v>89</v>
      </c>
      <c r="E34" s="23"/>
      <c r="K34" s="14"/>
      <c r="L34" s="126" t="s">
        <v>90</v>
      </c>
      <c r="M34" s="127"/>
    </row>
    <row r="35" spans="1:13" s="132" customFormat="1" ht="12" customHeight="1" x14ac:dyDescent="0.3">
      <c r="A35" s="72"/>
      <c r="B35" s="24" t="s">
        <v>142</v>
      </c>
      <c r="C35" s="27" t="str">
        <f>IF(C33="","",C33/E35+C34)</f>
        <v/>
      </c>
      <c r="D35" s="266" t="s">
        <v>91</v>
      </c>
      <c r="E35" s="23"/>
      <c r="I35" s="26"/>
      <c r="J35" s="26"/>
      <c r="K35" s="14"/>
      <c r="L35" s="126" t="s">
        <v>92</v>
      </c>
      <c r="M35" s="127"/>
    </row>
    <row r="36" spans="1:13" s="132" customFormat="1" ht="12" customHeight="1" x14ac:dyDescent="0.3">
      <c r="A36" s="72"/>
      <c r="B36" s="59" t="s">
        <v>143</v>
      </c>
      <c r="C36" s="260"/>
      <c r="D36" s="266" t="s">
        <v>25</v>
      </c>
      <c r="E36" s="128">
        <f>SUM(C41:C45)</f>
        <v>0</v>
      </c>
      <c r="I36" s="26"/>
      <c r="J36" s="26"/>
      <c r="K36" s="14"/>
      <c r="L36" s="93" t="s">
        <v>94</v>
      </c>
      <c r="M36" s="94"/>
    </row>
    <row r="37" spans="1:13" s="132" customFormat="1" ht="12" customHeight="1" x14ac:dyDescent="0.3">
      <c r="A37" s="72"/>
      <c r="B37" s="59" t="s">
        <v>144</v>
      </c>
      <c r="C37" s="25"/>
      <c r="D37" s="266" t="s">
        <v>44</v>
      </c>
      <c r="E37" s="244">
        <f>IF(E36=0,0,(C35/C36)/C37)</f>
        <v>0</v>
      </c>
      <c r="I37" s="26"/>
      <c r="J37" s="26"/>
      <c r="K37" s="14"/>
      <c r="L37" s="57" t="s">
        <v>70</v>
      </c>
      <c r="M37" s="58">
        <f>$M$9</f>
        <v>0.05</v>
      </c>
    </row>
    <row r="38" spans="1:13" s="132" customFormat="1" ht="12" customHeight="1" x14ac:dyDescent="0.3">
      <c r="A38" s="72"/>
      <c r="B38" s="28"/>
      <c r="C38" s="122"/>
      <c r="D38" s="267"/>
      <c r="E38" s="211"/>
      <c r="I38" s="26"/>
      <c r="J38" s="26"/>
      <c r="K38" s="14"/>
      <c r="L38" s="57" t="s">
        <v>80</v>
      </c>
      <c r="M38" s="58">
        <f>$M$10</f>
        <v>0.05</v>
      </c>
    </row>
    <row r="39" spans="1:13" s="132" customFormat="1" ht="12" customHeight="1" x14ac:dyDescent="0.3">
      <c r="A39" s="72"/>
      <c r="B39" s="28"/>
      <c r="C39" s="28"/>
      <c r="D39" s="43"/>
      <c r="H39" s="29"/>
      <c r="I39" s="29"/>
      <c r="J39" s="29"/>
      <c r="K39" s="29"/>
      <c r="M39" s="71"/>
    </row>
    <row r="40" spans="1:13" s="132" customFormat="1" ht="27.6" x14ac:dyDescent="0.3">
      <c r="A40" s="246" t="s">
        <v>145</v>
      </c>
      <c r="B40" s="246" t="s">
        <v>70</v>
      </c>
      <c r="C40" s="48" t="s">
        <v>47</v>
      </c>
      <c r="D40" s="135" t="s">
        <v>97</v>
      </c>
      <c r="E40" s="48" t="s">
        <v>98</v>
      </c>
      <c r="F40" s="48" t="s">
        <v>99</v>
      </c>
      <c r="G40" s="48" t="s">
        <v>22</v>
      </c>
      <c r="H40" s="48" t="s">
        <v>23</v>
      </c>
      <c r="I40" s="135" t="s">
        <v>100</v>
      </c>
      <c r="J40" s="136"/>
      <c r="K40" s="52"/>
      <c r="L40" s="48" t="s">
        <v>101</v>
      </c>
      <c r="M40" s="48" t="s">
        <v>0</v>
      </c>
    </row>
    <row r="41" spans="1:13" s="132" customFormat="1" ht="12" customHeight="1" x14ac:dyDescent="0.3">
      <c r="A41" s="137"/>
      <c r="B41" s="71" t="str">
        <f>IF(A41="","",VLOOKUP(A41,'Database Lab+Equip'!$A:$D,2,FALSE))</f>
        <v/>
      </c>
      <c r="C41" s="139"/>
      <c r="D41" s="268"/>
      <c r="E41" s="140">
        <f>IF(A41="",0,VLOOKUP(A41,'Database Lab+Equip'!$A:$D,3,FALSE))</f>
        <v>0</v>
      </c>
      <c r="F41" s="140">
        <f>IF(A41="",0,VLOOKUP(A41,'Database Lab+Equip'!$A:$D,4,FALSE))</f>
        <v>0</v>
      </c>
      <c r="G41" s="140">
        <f>IF(A41="",0,C41*D41*E41*E$37)</f>
        <v>0</v>
      </c>
      <c r="H41" s="140">
        <f>IF(A41="",0,C41*D41*F41*E$37)</f>
        <v>0</v>
      </c>
      <c r="I41" s="140">
        <f>(H41*$M$37)+H41</f>
        <v>0</v>
      </c>
      <c r="J41" s="154"/>
      <c r="K41" s="26"/>
      <c r="M41" s="84"/>
    </row>
    <row r="42" spans="1:13" s="132" customFormat="1" ht="12" customHeight="1" x14ac:dyDescent="0.3">
      <c r="A42" s="137"/>
      <c r="B42" s="71" t="str">
        <f>IF(A42="","",VLOOKUP(A42,'Database Lab+Equip'!$A:$D,2,FALSE))</f>
        <v/>
      </c>
      <c r="C42" s="142"/>
      <c r="D42" s="269"/>
      <c r="E42" s="140">
        <f>IF(A42="",0,VLOOKUP(A42,'Database Lab+Equip'!$A:$D,3,FALSE))</f>
        <v>0</v>
      </c>
      <c r="F42" s="140">
        <f>IF(A42="",0,VLOOKUP(A42,'Database Lab+Equip'!$A:$D,4,FALSE))</f>
        <v>0</v>
      </c>
      <c r="G42" s="140">
        <f>IF(A42="",0,C42*D42*E42*E$37)</f>
        <v>0</v>
      </c>
      <c r="H42" s="140">
        <f>IF(A42="",0,C42*D42*F42*E$37)</f>
        <v>0</v>
      </c>
      <c r="I42" s="140">
        <f>(H42*$M$37)+H42</f>
        <v>0</v>
      </c>
      <c r="J42" s="154"/>
      <c r="K42" s="26"/>
      <c r="M42" s="122"/>
    </row>
    <row r="43" spans="1:13" s="132" customFormat="1" ht="12" customHeight="1" x14ac:dyDescent="0.3">
      <c r="A43" s="137"/>
      <c r="B43" s="71" t="str">
        <f>IF(A43="","",VLOOKUP(A43,'Database Lab+Equip'!$A:$D,2,FALSE))</f>
        <v/>
      </c>
      <c r="C43" s="142"/>
      <c r="D43" s="269"/>
      <c r="E43" s="140">
        <f>IF(A43="",0,VLOOKUP(A43,'Database Lab+Equip'!$A:$D,3,FALSE))</f>
        <v>0</v>
      </c>
      <c r="F43" s="140">
        <f>IF(A43="",0,VLOOKUP(A43,'Database Lab+Equip'!$A:$D,4,FALSE))</f>
        <v>0</v>
      </c>
      <c r="G43" s="140">
        <f>IF(A43="",0,C43*D43*E43*E$37)</f>
        <v>0</v>
      </c>
      <c r="H43" s="140">
        <f>IF(A43="",0,C43*D43*F43*E$37)</f>
        <v>0</v>
      </c>
      <c r="I43" s="140">
        <f>(H43*$M$37)+H43</f>
        <v>0</v>
      </c>
      <c r="J43" s="154"/>
      <c r="K43" s="26"/>
      <c r="M43" s="122"/>
    </row>
    <row r="44" spans="1:13" s="132" customFormat="1" ht="12" customHeight="1" x14ac:dyDescent="0.3">
      <c r="A44" s="137"/>
      <c r="B44" s="71" t="str">
        <f>IF(A44="","",VLOOKUP(A44,'Database Lab+Equip'!$A:$D,2,FALSE))</f>
        <v/>
      </c>
      <c r="C44" s="142"/>
      <c r="D44" s="269"/>
      <c r="E44" s="140">
        <f>IF(A44="",0,VLOOKUP(A44,'Database Lab+Equip'!$A:$D,3,FALSE))</f>
        <v>0</v>
      </c>
      <c r="F44" s="140">
        <f>IF(A44="",0,VLOOKUP(A44,'Database Lab+Equip'!$A:$D,4,FALSE))</f>
        <v>0</v>
      </c>
      <c r="G44" s="140">
        <f>IF(A44="",0,C44*D44*E44*E$37)</f>
        <v>0</v>
      </c>
      <c r="H44" s="140">
        <f>IF(A44="",0,C44*D44*F44*E$37)</f>
        <v>0</v>
      </c>
      <c r="I44" s="140">
        <f>(H44*$M$37)+H44</f>
        <v>0</v>
      </c>
      <c r="J44" s="154"/>
      <c r="K44" s="26"/>
      <c r="M44" s="122"/>
    </row>
    <row r="45" spans="1:13" s="132" customFormat="1" ht="12" customHeight="1" x14ac:dyDescent="0.3">
      <c r="A45" s="137"/>
      <c r="B45" s="71" t="str">
        <f>IF(A45="","",VLOOKUP(A45,'Database Lab+Equip'!$A:$D,2,FALSE))</f>
        <v/>
      </c>
      <c r="C45" s="142"/>
      <c r="D45" s="269"/>
      <c r="E45" s="140">
        <f>IF(A45="",0,VLOOKUP(A45,'Database Lab+Equip'!$A:$D,3,FALSE))</f>
        <v>0</v>
      </c>
      <c r="F45" s="140">
        <f>IF(A45="",0,VLOOKUP(A45,'Database Lab+Equip'!$A:$D,4,FALSE))</f>
        <v>0</v>
      </c>
      <c r="G45" s="140">
        <f>IF(A45="",0,C45*D45*E45*E$37)</f>
        <v>0</v>
      </c>
      <c r="H45" s="140">
        <f>IF(A45="",0,C45*D45*F45*E$37)</f>
        <v>0</v>
      </c>
      <c r="I45" s="140">
        <f>(H45*$M$37)+H45</f>
        <v>0</v>
      </c>
      <c r="J45" s="152" t="s">
        <v>108</v>
      </c>
      <c r="K45" s="153" t="s">
        <v>109</v>
      </c>
      <c r="L45" s="31"/>
      <c r="M45" s="123">
        <f>SUM(I41:I45)-SUM(G41:G45)</f>
        <v>0</v>
      </c>
    </row>
    <row r="46" spans="1:13" s="132" customFormat="1" ht="12" customHeight="1" x14ac:dyDescent="0.3">
      <c r="A46" s="35"/>
      <c r="C46" s="140"/>
      <c r="D46" s="270"/>
      <c r="E46" s="140"/>
      <c r="F46" s="140"/>
      <c r="G46" s="21">
        <f>SUM(G41:G45)</f>
        <v>0</v>
      </c>
      <c r="H46" s="21">
        <f>SUM(H41:H45)</f>
        <v>0</v>
      </c>
      <c r="I46" s="21">
        <f>SUM(I41:I45)</f>
        <v>0</v>
      </c>
      <c r="J46" s="21">
        <f>G46</f>
        <v>0</v>
      </c>
      <c r="K46" s="34">
        <f>I46</f>
        <v>0</v>
      </c>
      <c r="L46" s="154">
        <f>IF(J46=0,0,(K46-J46)/J46)</f>
        <v>0</v>
      </c>
      <c r="M46" s="122"/>
    </row>
    <row r="47" spans="1:13" s="132" customFormat="1" ht="12" customHeight="1" x14ac:dyDescent="0.3">
      <c r="A47" s="35"/>
      <c r="B47" s="71"/>
      <c r="C47" s="122"/>
      <c r="D47" s="265"/>
      <c r="E47" s="122"/>
      <c r="F47" s="122"/>
      <c r="G47" s="122"/>
      <c r="H47" s="122"/>
      <c r="I47" s="144"/>
      <c r="J47" s="84"/>
      <c r="K47" s="29"/>
      <c r="L47" s="122"/>
      <c r="M47" s="122"/>
    </row>
    <row r="48" spans="1:13" s="132" customFormat="1" ht="41.4" x14ac:dyDescent="0.3">
      <c r="A48" s="246" t="s">
        <v>96</v>
      </c>
      <c r="B48" s="246" t="s">
        <v>80</v>
      </c>
      <c r="C48" s="48" t="s">
        <v>47</v>
      </c>
      <c r="D48" s="135" t="s">
        <v>110</v>
      </c>
      <c r="E48" s="48" t="s">
        <v>98</v>
      </c>
      <c r="F48" s="48" t="s">
        <v>99</v>
      </c>
      <c r="G48" s="48" t="s">
        <v>22</v>
      </c>
      <c r="H48" s="48" t="s">
        <v>23</v>
      </c>
      <c r="I48" s="135" t="s">
        <v>100</v>
      </c>
      <c r="J48" s="145"/>
      <c r="K48" s="48"/>
      <c r="L48" s="124"/>
      <c r="M48" s="124"/>
    </row>
    <row r="49" spans="1:13" s="132" customFormat="1" ht="12" customHeight="1" x14ac:dyDescent="0.3">
      <c r="A49" s="148"/>
      <c r="B49" s="71" t="str">
        <f>IF(A49="","",VLOOKUP(A49,'Database Lab+Equip'!$F:$I,2,FALSE))</f>
        <v/>
      </c>
      <c r="C49" s="139"/>
      <c r="D49" s="271"/>
      <c r="E49" s="140">
        <f>IF(A49="",0,VLOOKUP(A49,'Database Lab+Equip'!$F:$I,3,FALSE))</f>
        <v>0</v>
      </c>
      <c r="F49" s="140">
        <f>IF(A49="",0,VLOOKUP(A49,'Database Lab+Equip'!$F:$I,4,FALSE))</f>
        <v>0</v>
      </c>
      <c r="G49" s="140">
        <f>IF(A49="",0,C49*D49*E49*E$37)</f>
        <v>0</v>
      </c>
      <c r="H49" s="140">
        <f>IF(A49="",0,C49*D49*F49*E$37)</f>
        <v>0</v>
      </c>
      <c r="I49" s="140">
        <f>(H49*$M$38)+H49</f>
        <v>0</v>
      </c>
      <c r="J49" s="84"/>
      <c r="K49" s="29"/>
      <c r="L49" s="122"/>
      <c r="M49" s="84"/>
    </row>
    <row r="50" spans="1:13" s="132" customFormat="1" ht="12" customHeight="1" x14ac:dyDescent="0.3">
      <c r="A50" s="148"/>
      <c r="B50" s="71" t="str">
        <f>IF(A50="","",VLOOKUP(A50,'Database Lab+Equip'!$F:$I,2,FALSE))</f>
        <v/>
      </c>
      <c r="C50" s="142"/>
      <c r="D50" s="272"/>
      <c r="E50" s="140">
        <f>IF(A50="",0,VLOOKUP(A50,'Database Lab+Equip'!$F:$I,3,FALSE))</f>
        <v>0</v>
      </c>
      <c r="F50" s="140">
        <f>IF(A50="",0,VLOOKUP(A50,'Database Lab+Equip'!$F:$I,4,FALSE))</f>
        <v>0</v>
      </c>
      <c r="G50" s="140">
        <f t="shared" ref="G50:G55" si="3">IF(A50="",0,C50*D50*E50*E$37)</f>
        <v>0</v>
      </c>
      <c r="H50" s="140">
        <f t="shared" ref="H50:H55" si="4">IF(A50="",0,C50*D50*F50*E$37)</f>
        <v>0</v>
      </c>
      <c r="I50" s="140">
        <f t="shared" ref="I50:I56" si="5">(H50*$M$38)+H50</f>
        <v>0</v>
      </c>
      <c r="J50" s="122"/>
      <c r="K50" s="29"/>
      <c r="L50" s="122"/>
      <c r="M50" s="122"/>
    </row>
    <row r="51" spans="1:13" s="132" customFormat="1" ht="12" customHeight="1" x14ac:dyDescent="0.3">
      <c r="A51" s="148"/>
      <c r="B51" s="71" t="str">
        <f>IF(A51="","",VLOOKUP(A51,'Database Lab+Equip'!$F:$I,2,FALSE))</f>
        <v/>
      </c>
      <c r="C51" s="142"/>
      <c r="D51" s="272"/>
      <c r="E51" s="140">
        <f>IF(A51="",0,VLOOKUP(A51,'Database Lab+Equip'!$F:$I,3,FALSE))</f>
        <v>0</v>
      </c>
      <c r="F51" s="140">
        <f>IF(A51="",0,VLOOKUP(A51,'Database Lab+Equip'!$F:$I,4,FALSE))</f>
        <v>0</v>
      </c>
      <c r="G51" s="140">
        <f t="shared" si="3"/>
        <v>0</v>
      </c>
      <c r="H51" s="140">
        <f t="shared" si="4"/>
        <v>0</v>
      </c>
      <c r="I51" s="140">
        <f t="shared" si="5"/>
        <v>0</v>
      </c>
      <c r="J51" s="84"/>
      <c r="K51" s="29"/>
      <c r="L51" s="122"/>
      <c r="M51" s="122"/>
    </row>
    <row r="52" spans="1:13" s="132" customFormat="1" ht="12" customHeight="1" x14ac:dyDescent="0.3">
      <c r="A52" s="148"/>
      <c r="B52" s="71" t="str">
        <f>IF(A52="","",VLOOKUP(A52,'Database Lab+Equip'!$F:$I,2,FALSE))</f>
        <v/>
      </c>
      <c r="C52" s="142"/>
      <c r="D52" s="272"/>
      <c r="E52" s="140">
        <f>IF(A52="",0,VLOOKUP(A52,'Database Lab+Equip'!$F:$I,3,FALSE))</f>
        <v>0</v>
      </c>
      <c r="F52" s="140">
        <f>IF(A52="",0,VLOOKUP(A52,'Database Lab+Equip'!$F:$I,4,FALSE))</f>
        <v>0</v>
      </c>
      <c r="G52" s="140">
        <f t="shared" si="3"/>
        <v>0</v>
      </c>
      <c r="H52" s="140">
        <f t="shared" si="4"/>
        <v>0</v>
      </c>
      <c r="I52" s="140">
        <f t="shared" si="5"/>
        <v>0</v>
      </c>
      <c r="J52" s="84"/>
      <c r="K52" s="29"/>
      <c r="L52" s="122"/>
      <c r="M52" s="122"/>
    </row>
    <row r="53" spans="1:13" s="132" customFormat="1" ht="12" customHeight="1" x14ac:dyDescent="0.3">
      <c r="A53" s="148"/>
      <c r="B53" s="71" t="str">
        <f>IF(A53="","",VLOOKUP(A53,'Database Lab+Equip'!$F:$I,2,FALSE))</f>
        <v/>
      </c>
      <c r="C53" s="142"/>
      <c r="D53" s="272"/>
      <c r="E53" s="140">
        <f>IF(A53="",0,VLOOKUP(A53,'Database Lab+Equip'!$F:$I,3,FALSE))</f>
        <v>0</v>
      </c>
      <c r="F53" s="140">
        <f>IF(A53="",0,VLOOKUP(A53,'Database Lab+Equip'!$F:$I,4,FALSE))</f>
        <v>0</v>
      </c>
      <c r="G53" s="140">
        <f t="shared" si="3"/>
        <v>0</v>
      </c>
      <c r="H53" s="140">
        <f t="shared" si="4"/>
        <v>0</v>
      </c>
      <c r="I53" s="140">
        <f t="shared" si="5"/>
        <v>0</v>
      </c>
      <c r="J53" s="84"/>
      <c r="K53" s="29"/>
      <c r="L53" s="122"/>
      <c r="M53" s="122"/>
    </row>
    <row r="54" spans="1:13" s="132" customFormat="1" ht="12" customHeight="1" x14ac:dyDescent="0.3">
      <c r="A54" s="148"/>
      <c r="B54" s="71" t="str">
        <f>IF(A54="","",VLOOKUP(A54,'Database Lab+Equip'!$F:$I,2,FALSE))</f>
        <v/>
      </c>
      <c r="C54" s="142"/>
      <c r="D54" s="272"/>
      <c r="E54" s="140">
        <f>IF(A54="",0,VLOOKUP(A54,'Database Lab+Equip'!$F:$I,3,FALSE))</f>
        <v>0</v>
      </c>
      <c r="F54" s="140">
        <f>IF(A54="",0,VLOOKUP(A54,'Database Lab+Equip'!$F:$I,4,FALSE))</f>
        <v>0</v>
      </c>
      <c r="G54" s="140">
        <f t="shared" si="3"/>
        <v>0</v>
      </c>
      <c r="H54" s="140">
        <f t="shared" si="4"/>
        <v>0</v>
      </c>
      <c r="I54" s="140">
        <f t="shared" si="5"/>
        <v>0</v>
      </c>
      <c r="J54" s="84"/>
      <c r="K54" s="29"/>
      <c r="L54" s="122"/>
      <c r="M54" s="122"/>
    </row>
    <row r="55" spans="1:13" s="132" customFormat="1" ht="12" customHeight="1" x14ac:dyDescent="0.3">
      <c r="A55" s="148"/>
      <c r="B55" s="71" t="str">
        <f>IF(A55="","",VLOOKUP(A55,'Database Lab+Equip'!$F:$I,2,FALSE))</f>
        <v/>
      </c>
      <c r="C55" s="150"/>
      <c r="D55" s="273"/>
      <c r="E55" s="140">
        <f>IF(A55="",0,VLOOKUP(A55,'Database Lab+Equip'!$F:$I,3,FALSE))</f>
        <v>0</v>
      </c>
      <c r="F55" s="140">
        <f>IF(A55="",0,VLOOKUP(A55,'Database Lab+Equip'!$F:$I,4,FALSE))</f>
        <v>0</v>
      </c>
      <c r="G55" s="140">
        <f t="shared" si="3"/>
        <v>0</v>
      </c>
      <c r="H55" s="140">
        <f t="shared" si="4"/>
        <v>0</v>
      </c>
      <c r="I55" s="140">
        <f t="shared" si="5"/>
        <v>0</v>
      </c>
      <c r="J55" s="84"/>
      <c r="K55" s="29"/>
      <c r="L55" s="122"/>
      <c r="M55" s="122"/>
    </row>
    <row r="56" spans="1:13" s="132" customFormat="1" ht="12" customHeight="1" x14ac:dyDescent="0.3">
      <c r="A56" s="148"/>
      <c r="B56" s="71" t="str">
        <f>IF(A56="","",VLOOKUP(A56,'Database Lab+Equip'!$F:$I,2,FALSE))</f>
        <v/>
      </c>
      <c r="C56" s="150"/>
      <c r="D56" s="273"/>
      <c r="E56" s="140">
        <f>IF(A56="",0,VLOOKUP(A56,'Database Lab+Equip'!$F:$I,3,FALSE))</f>
        <v>0</v>
      </c>
      <c r="F56" s="140">
        <f>IF(A56="",0,VLOOKUP(A56,'Database Lab+Equip'!$F:$I,4,FALSE))</f>
        <v>0</v>
      </c>
      <c r="G56" s="140">
        <f>IF(A56="",0,C56*D56*E56*E$37)</f>
        <v>0</v>
      </c>
      <c r="H56" s="140">
        <f>IF(A56="",0,C56*D56*F56*E$37)</f>
        <v>0</v>
      </c>
      <c r="I56" s="140">
        <f t="shared" si="5"/>
        <v>0</v>
      </c>
      <c r="J56" s="152" t="s">
        <v>108</v>
      </c>
      <c r="K56" s="153" t="s">
        <v>109</v>
      </c>
      <c r="L56" s="31"/>
      <c r="M56" s="125">
        <f>SUM(I49:I56)-SUM(G49:G56)</f>
        <v>0</v>
      </c>
    </row>
    <row r="57" spans="1:13" s="132" customFormat="1" ht="12" customHeight="1" x14ac:dyDescent="0.3">
      <c r="A57" s="72"/>
      <c r="B57" s="143"/>
      <c r="C57" s="130"/>
      <c r="D57" s="265"/>
      <c r="E57" s="122"/>
      <c r="F57" s="122"/>
      <c r="G57" s="21">
        <f>SUM(G49:G56)</f>
        <v>0</v>
      </c>
      <c r="H57" s="21">
        <f>SUM(H49:H56)</f>
        <v>0</v>
      </c>
      <c r="I57" s="21">
        <f>SUM(I49:I56)</f>
        <v>0</v>
      </c>
      <c r="J57" s="21">
        <f>G57</f>
        <v>0</v>
      </c>
      <c r="K57" s="34">
        <f>I57</f>
        <v>0</v>
      </c>
      <c r="L57" s="154">
        <f>IF(J57=0,0,(K57-J57)/J57)</f>
        <v>0</v>
      </c>
      <c r="M57" s="187">
        <f>M45+M56</f>
        <v>0</v>
      </c>
    </row>
    <row r="58" spans="1:13" s="31" customFormat="1" ht="13.8" x14ac:dyDescent="0.3">
      <c r="A58" s="110"/>
      <c r="B58" s="115"/>
      <c r="C58" s="116"/>
      <c r="D58" s="274"/>
      <c r="E58" s="117"/>
      <c r="F58" s="117"/>
      <c r="G58" s="118"/>
      <c r="H58" s="110"/>
      <c r="I58" s="161"/>
      <c r="J58" s="162">
        <f>J46+J57</f>
        <v>0</v>
      </c>
      <c r="K58" s="162">
        <f>K46+K57</f>
        <v>0</v>
      </c>
      <c r="L58" s="119">
        <f>IF(J58=0,0,(K58-J58)/K58)</f>
        <v>0</v>
      </c>
      <c r="M58" s="173"/>
    </row>
    <row r="59" spans="1:13" s="31" customFormat="1" ht="13.8" x14ac:dyDescent="0.3">
      <c r="A59" s="112"/>
      <c r="B59" s="223"/>
      <c r="C59" s="214"/>
      <c r="D59" s="275"/>
      <c r="E59" s="215"/>
      <c r="F59" s="215"/>
      <c r="G59" s="216"/>
      <c r="H59" s="112"/>
      <c r="I59" s="217"/>
      <c r="J59" s="218"/>
      <c r="K59" s="218"/>
      <c r="L59" s="224"/>
      <c r="M59" s="213"/>
    </row>
    <row r="60" spans="1:13" ht="15.6" x14ac:dyDescent="0.3">
      <c r="B60" s="241" t="s">
        <v>167</v>
      </c>
      <c r="C60" s="42"/>
      <c r="D60" s="42"/>
      <c r="E60" s="42"/>
      <c r="F60" s="129"/>
      <c r="H60" s="132"/>
      <c r="I60" s="132"/>
      <c r="L60" s="221" t="s">
        <v>85</v>
      </c>
      <c r="M60" s="222"/>
    </row>
    <row r="61" spans="1:13" s="132" customFormat="1" ht="12" customHeight="1" x14ac:dyDescent="0.3">
      <c r="A61" s="72"/>
      <c r="B61" s="24" t="s">
        <v>135</v>
      </c>
      <c r="C61" s="22"/>
      <c r="D61" s="266" t="s">
        <v>87</v>
      </c>
      <c r="E61" s="23"/>
      <c r="F61" s="133"/>
      <c r="H61" s="14"/>
      <c r="I61" s="14"/>
      <c r="J61" s="14"/>
      <c r="K61" s="14"/>
      <c r="L61" s="219" t="s">
        <v>88</v>
      </c>
      <c r="M61" s="220"/>
    </row>
    <row r="62" spans="1:13" s="132" customFormat="1" ht="12" customHeight="1" x14ac:dyDescent="0.3">
      <c r="A62" s="72"/>
      <c r="B62" s="24" t="s">
        <v>141</v>
      </c>
      <c r="C62" s="25"/>
      <c r="D62" s="266" t="s">
        <v>89</v>
      </c>
      <c r="E62" s="23"/>
      <c r="K62" s="14"/>
      <c r="L62" s="126" t="s">
        <v>90</v>
      </c>
      <c r="M62" s="127"/>
    </row>
    <row r="63" spans="1:13" s="132" customFormat="1" ht="12" customHeight="1" x14ac:dyDescent="0.3">
      <c r="A63" s="72"/>
      <c r="B63" s="24" t="s">
        <v>142</v>
      </c>
      <c r="C63" s="27" t="str">
        <f>IF(C61="","",C61/E63+C62)</f>
        <v/>
      </c>
      <c r="D63" s="266" t="s">
        <v>91</v>
      </c>
      <c r="E63" s="23"/>
      <c r="I63" s="26"/>
      <c r="J63" s="26"/>
      <c r="K63" s="14"/>
      <c r="L63" s="126" t="s">
        <v>92</v>
      </c>
      <c r="M63" s="127"/>
    </row>
    <row r="64" spans="1:13" s="132" customFormat="1" ht="12" customHeight="1" x14ac:dyDescent="0.3">
      <c r="A64" s="72"/>
      <c r="B64" s="59" t="s">
        <v>143</v>
      </c>
      <c r="C64" s="260"/>
      <c r="D64" s="266" t="s">
        <v>25</v>
      </c>
      <c r="E64" s="128">
        <f>SUM(C69:C73)</f>
        <v>0</v>
      </c>
      <c r="I64" s="26"/>
      <c r="J64" s="26"/>
      <c r="K64" s="14"/>
      <c r="L64" s="93" t="s">
        <v>94</v>
      </c>
      <c r="M64" s="94"/>
    </row>
    <row r="65" spans="1:13" s="132" customFormat="1" ht="12" customHeight="1" x14ac:dyDescent="0.3">
      <c r="A65" s="72"/>
      <c r="B65" s="59" t="s">
        <v>144</v>
      </c>
      <c r="C65" s="25"/>
      <c r="D65" s="266" t="s">
        <v>44</v>
      </c>
      <c r="E65" s="244">
        <f>IF(E64=0,0,(C63/C64)/C65)</f>
        <v>0</v>
      </c>
      <c r="I65" s="26"/>
      <c r="J65" s="26"/>
      <c r="K65" s="14"/>
      <c r="L65" s="57" t="s">
        <v>70</v>
      </c>
      <c r="M65" s="58">
        <f>$M$9</f>
        <v>0.05</v>
      </c>
    </row>
    <row r="66" spans="1:13" s="132" customFormat="1" ht="12" customHeight="1" x14ac:dyDescent="0.3">
      <c r="A66" s="72"/>
      <c r="B66" s="28"/>
      <c r="C66" s="122"/>
      <c r="D66" s="267"/>
      <c r="E66" s="211"/>
      <c r="I66" s="26"/>
      <c r="J66" s="26"/>
      <c r="K66" s="14"/>
      <c r="L66" s="57" t="s">
        <v>80</v>
      </c>
      <c r="M66" s="58">
        <f>$M$10</f>
        <v>0.05</v>
      </c>
    </row>
    <row r="67" spans="1:13" s="132" customFormat="1" ht="12" customHeight="1" x14ac:dyDescent="0.3">
      <c r="A67" s="72"/>
      <c r="B67" s="28"/>
      <c r="C67" s="28"/>
      <c r="D67" s="43"/>
      <c r="H67" s="29"/>
      <c r="I67" s="29"/>
      <c r="J67" s="29"/>
      <c r="K67" s="29"/>
      <c r="M67" s="71"/>
    </row>
    <row r="68" spans="1:13" s="132" customFormat="1" ht="27.6" x14ac:dyDescent="0.3">
      <c r="A68" s="246" t="s">
        <v>145</v>
      </c>
      <c r="B68" s="246" t="s">
        <v>70</v>
      </c>
      <c r="C68" s="48" t="s">
        <v>47</v>
      </c>
      <c r="D68" s="135" t="s">
        <v>97</v>
      </c>
      <c r="E68" s="48" t="s">
        <v>98</v>
      </c>
      <c r="F68" s="48" t="s">
        <v>99</v>
      </c>
      <c r="G68" s="48" t="s">
        <v>22</v>
      </c>
      <c r="H68" s="48" t="s">
        <v>23</v>
      </c>
      <c r="I68" s="135" t="s">
        <v>100</v>
      </c>
      <c r="J68" s="136"/>
      <c r="K68" s="52"/>
      <c r="L68" s="48" t="s">
        <v>101</v>
      </c>
      <c r="M68" s="48" t="s">
        <v>0</v>
      </c>
    </row>
    <row r="69" spans="1:13" s="132" customFormat="1" ht="12" customHeight="1" x14ac:dyDescent="0.3">
      <c r="A69" s="137"/>
      <c r="B69" s="71" t="str">
        <f>IF(A69="","",VLOOKUP(A69,'Database Lab+Equip'!$A:$D,2,FALSE))</f>
        <v/>
      </c>
      <c r="C69" s="139"/>
      <c r="D69" s="268"/>
      <c r="E69" s="140">
        <f>IF(A69="",0,VLOOKUP(A69,'Database Lab+Equip'!$A:$D,3,FALSE))</f>
        <v>0</v>
      </c>
      <c r="F69" s="140">
        <f>IF(A69="",0,VLOOKUP(A69,'Database Lab+Equip'!$A:$D,4,FALSE))</f>
        <v>0</v>
      </c>
      <c r="G69" s="140">
        <f>IF(A69="",0,C69*D69*E69*E$65)</f>
        <v>0</v>
      </c>
      <c r="H69" s="140">
        <f>IF(A69="",0,C69*D69*F69*E$65)</f>
        <v>0</v>
      </c>
      <c r="I69" s="140">
        <f>(H69*$M$65)+H69</f>
        <v>0</v>
      </c>
      <c r="J69" s="154"/>
      <c r="K69" s="26"/>
      <c r="M69" s="84"/>
    </row>
    <row r="70" spans="1:13" s="132" customFormat="1" ht="12" customHeight="1" x14ac:dyDescent="0.3">
      <c r="A70" s="137"/>
      <c r="B70" s="71" t="str">
        <f>IF(A70="","",VLOOKUP(A70,'Database Lab+Equip'!$A:$D,2,FALSE))</f>
        <v/>
      </c>
      <c r="C70" s="142"/>
      <c r="D70" s="269"/>
      <c r="E70" s="140">
        <f>IF(A70="",0,VLOOKUP(A70,'Database Lab+Equip'!$A:$D,3,FALSE))</f>
        <v>0</v>
      </c>
      <c r="F70" s="140">
        <f>IF(A70="",0,VLOOKUP(A70,'Database Lab+Equip'!$A:$D,4,FALSE))</f>
        <v>0</v>
      </c>
      <c r="G70" s="140">
        <f>IF(A70="",0,C70*D70*E70*E$65)</f>
        <v>0</v>
      </c>
      <c r="H70" s="140">
        <f>IF(A70="",0,C70*D70*F70*E$65)</f>
        <v>0</v>
      </c>
      <c r="I70" s="140">
        <f>(H70*$M$65)+H70</f>
        <v>0</v>
      </c>
      <c r="J70" s="154"/>
      <c r="K70" s="26"/>
      <c r="M70" s="122"/>
    </row>
    <row r="71" spans="1:13" s="132" customFormat="1" ht="12" customHeight="1" x14ac:dyDescent="0.3">
      <c r="A71" s="137"/>
      <c r="B71" s="71" t="str">
        <f>IF(A71="","",VLOOKUP(A71,'Database Lab+Equip'!$A:$D,2,FALSE))</f>
        <v/>
      </c>
      <c r="C71" s="142"/>
      <c r="D71" s="269"/>
      <c r="E71" s="140">
        <f>IF(A71="",0,VLOOKUP(A71,'Database Lab+Equip'!$A:$D,3,FALSE))</f>
        <v>0</v>
      </c>
      <c r="F71" s="140">
        <f>IF(A71="",0,VLOOKUP(A71,'Database Lab+Equip'!$A:$D,4,FALSE))</f>
        <v>0</v>
      </c>
      <c r="G71" s="140">
        <f>IF(A71="",0,C71*D71*E71*E$65)</f>
        <v>0</v>
      </c>
      <c r="H71" s="140">
        <f>IF(A71="",0,C71*D71*F71*E$65)</f>
        <v>0</v>
      </c>
      <c r="I71" s="140">
        <f>(H71*$M$65)+H71</f>
        <v>0</v>
      </c>
      <c r="J71" s="154"/>
      <c r="K71" s="26"/>
      <c r="M71" s="122"/>
    </row>
    <row r="72" spans="1:13" s="132" customFormat="1" ht="12" customHeight="1" x14ac:dyDescent="0.3">
      <c r="A72" s="137"/>
      <c r="B72" s="71" t="str">
        <f>IF(A72="","",VLOOKUP(A72,'Database Lab+Equip'!$A:$D,2,FALSE))</f>
        <v/>
      </c>
      <c r="C72" s="142"/>
      <c r="D72" s="269"/>
      <c r="E72" s="140">
        <f>IF(A72="",0,VLOOKUP(A72,'Database Lab+Equip'!$A:$D,3,FALSE))</f>
        <v>0</v>
      </c>
      <c r="F72" s="140">
        <f>IF(A72="",0,VLOOKUP(A72,'Database Lab+Equip'!$A:$D,4,FALSE))</f>
        <v>0</v>
      </c>
      <c r="G72" s="140">
        <f>IF(A72="",0,C72*D72*E72*E$65)</f>
        <v>0</v>
      </c>
      <c r="H72" s="140">
        <f>IF(A72="",0,C72*D72*F72*E$65)</f>
        <v>0</v>
      </c>
      <c r="I72" s="140">
        <f>(H72*$M$65)+H72</f>
        <v>0</v>
      </c>
      <c r="J72" s="154"/>
      <c r="K72" s="26"/>
      <c r="M72" s="122"/>
    </row>
    <row r="73" spans="1:13" s="132" customFormat="1" ht="12" customHeight="1" x14ac:dyDescent="0.3">
      <c r="A73" s="137"/>
      <c r="B73" s="71" t="str">
        <f>IF(A73="","",VLOOKUP(A73,'Database Lab+Equip'!$A:$D,2,FALSE))</f>
        <v/>
      </c>
      <c r="C73" s="142"/>
      <c r="D73" s="269"/>
      <c r="E73" s="140">
        <f>IF(A73="",0,VLOOKUP(A73,'Database Lab+Equip'!$A:$D,3,FALSE))</f>
        <v>0</v>
      </c>
      <c r="F73" s="140">
        <f>IF(A73="",0,VLOOKUP(A73,'Database Lab+Equip'!$A:$D,4,FALSE))</f>
        <v>0</v>
      </c>
      <c r="G73" s="140">
        <f>IF(A73="",0,C73*D73*E73*E$65)</f>
        <v>0</v>
      </c>
      <c r="H73" s="140">
        <f>IF(A73="",0,C73*D73*F73*E$65)</f>
        <v>0</v>
      </c>
      <c r="I73" s="140">
        <f>(H73*$M$65)+H73</f>
        <v>0</v>
      </c>
      <c r="J73" s="152" t="s">
        <v>108</v>
      </c>
      <c r="K73" s="153" t="s">
        <v>109</v>
      </c>
      <c r="L73" s="31"/>
      <c r="M73" s="123">
        <f>SUM(I69:I73)-SUM(G69:G73)</f>
        <v>0</v>
      </c>
    </row>
    <row r="74" spans="1:13" s="132" customFormat="1" ht="12" customHeight="1" x14ac:dyDescent="0.3">
      <c r="A74" s="35"/>
      <c r="C74" s="140"/>
      <c r="D74" s="270"/>
      <c r="E74" s="140"/>
      <c r="F74" s="140"/>
      <c r="G74" s="21">
        <f>SUM(G69:G73)</f>
        <v>0</v>
      </c>
      <c r="H74" s="21">
        <f>SUM(H69:H73)</f>
        <v>0</v>
      </c>
      <c r="I74" s="21">
        <f>SUM(I69:I73)</f>
        <v>0</v>
      </c>
      <c r="J74" s="21">
        <f>G74</f>
        <v>0</v>
      </c>
      <c r="K74" s="34">
        <f>I74</f>
        <v>0</v>
      </c>
      <c r="L74" s="154">
        <f>IF(J74=0,0,(K74-J74)/J74)</f>
        <v>0</v>
      </c>
      <c r="M74" s="122"/>
    </row>
    <row r="75" spans="1:13" s="132" customFormat="1" ht="12" customHeight="1" x14ac:dyDescent="0.3">
      <c r="A75" s="35"/>
      <c r="B75" s="71"/>
      <c r="C75" s="122"/>
      <c r="D75" s="265"/>
      <c r="E75" s="122"/>
      <c r="F75" s="122"/>
      <c r="G75" s="122"/>
      <c r="H75" s="122"/>
      <c r="I75" s="144"/>
      <c r="J75" s="84"/>
      <c r="K75" s="29"/>
      <c r="L75" s="122"/>
      <c r="M75" s="122"/>
    </row>
    <row r="76" spans="1:13" s="132" customFormat="1" ht="41.4" x14ac:dyDescent="0.3">
      <c r="A76" s="246" t="s">
        <v>96</v>
      </c>
      <c r="B76" s="246" t="s">
        <v>80</v>
      </c>
      <c r="C76" s="48" t="s">
        <v>47</v>
      </c>
      <c r="D76" s="135" t="s">
        <v>110</v>
      </c>
      <c r="E76" s="48" t="s">
        <v>98</v>
      </c>
      <c r="F76" s="48" t="s">
        <v>99</v>
      </c>
      <c r="G76" s="48" t="s">
        <v>22</v>
      </c>
      <c r="H76" s="48" t="s">
        <v>23</v>
      </c>
      <c r="I76" s="135" t="s">
        <v>100</v>
      </c>
      <c r="J76" s="145"/>
      <c r="K76" s="48"/>
      <c r="L76" s="124"/>
      <c r="M76" s="124"/>
    </row>
    <row r="77" spans="1:13" s="132" customFormat="1" ht="12" customHeight="1" x14ac:dyDescent="0.3">
      <c r="A77" s="148"/>
      <c r="B77" s="71" t="str">
        <f>IF(A77="","",VLOOKUP(A77,'Database Lab+Equip'!$F:$I,2,FALSE))</f>
        <v/>
      </c>
      <c r="C77" s="139"/>
      <c r="D77" s="271"/>
      <c r="E77" s="140">
        <f>IF(A77="",0,VLOOKUP(A77,'Database Lab+Equip'!$F:$I,3,FALSE))</f>
        <v>0</v>
      </c>
      <c r="F77" s="140">
        <f>IF(A77="",0,VLOOKUP(A77,'Database Lab+Equip'!$F:$I,4,FALSE))</f>
        <v>0</v>
      </c>
      <c r="G77" s="140">
        <f>IF(A77="",0,C77*D77*E77*E$65)</f>
        <v>0</v>
      </c>
      <c r="H77" s="140">
        <f>IF(A77="",0,C77*D77*F77*E$65)</f>
        <v>0</v>
      </c>
      <c r="I77" s="140">
        <f>(H77*$M$66)+H77</f>
        <v>0</v>
      </c>
      <c r="J77" s="84"/>
      <c r="K77" s="29"/>
      <c r="L77" s="122"/>
      <c r="M77" s="84"/>
    </row>
    <row r="78" spans="1:13" s="132" customFormat="1" ht="12" customHeight="1" x14ac:dyDescent="0.3">
      <c r="A78" s="148"/>
      <c r="B78" s="71" t="str">
        <f>IF(A78="","",VLOOKUP(A78,'Database Lab+Equip'!$F:$I,2,FALSE))</f>
        <v/>
      </c>
      <c r="C78" s="142"/>
      <c r="D78" s="272"/>
      <c r="E78" s="140">
        <f>IF(A78="",0,VLOOKUP(A78,'Database Lab+Equip'!$F:$I,3,FALSE))</f>
        <v>0</v>
      </c>
      <c r="F78" s="140">
        <f>IF(A78="",0,VLOOKUP(A78,'Database Lab+Equip'!$F:$I,4,FALSE))</f>
        <v>0</v>
      </c>
      <c r="G78" s="140">
        <f t="shared" ref="G78:G84" si="6">IF(A78="",0,C78*D78*E78*E$65)</f>
        <v>0</v>
      </c>
      <c r="H78" s="140">
        <f t="shared" ref="H78:H84" si="7">IF(A78="",0,C78*D78*F78*E$65)</f>
        <v>0</v>
      </c>
      <c r="I78" s="140">
        <f t="shared" ref="I78:I83" si="8">(H78*$M$66)+H78</f>
        <v>0</v>
      </c>
      <c r="J78" s="122"/>
      <c r="K78" s="29"/>
      <c r="L78" s="122"/>
      <c r="M78" s="122"/>
    </row>
    <row r="79" spans="1:13" s="132" customFormat="1" ht="12" customHeight="1" x14ac:dyDescent="0.3">
      <c r="A79" s="148"/>
      <c r="B79" s="71" t="str">
        <f>IF(A79="","",VLOOKUP(A79,'Database Lab+Equip'!$F:$I,2,FALSE))</f>
        <v/>
      </c>
      <c r="C79" s="142"/>
      <c r="D79" s="272"/>
      <c r="E79" s="140">
        <f>IF(A79="",0,VLOOKUP(A79,'Database Lab+Equip'!$F:$I,3,FALSE))</f>
        <v>0</v>
      </c>
      <c r="F79" s="140">
        <f>IF(A79="",0,VLOOKUP(A79,'Database Lab+Equip'!$F:$I,4,FALSE))</f>
        <v>0</v>
      </c>
      <c r="G79" s="140">
        <f t="shared" si="6"/>
        <v>0</v>
      </c>
      <c r="H79" s="140">
        <f t="shared" si="7"/>
        <v>0</v>
      </c>
      <c r="I79" s="140">
        <f t="shared" si="8"/>
        <v>0</v>
      </c>
      <c r="J79" s="84"/>
      <c r="K79" s="29"/>
      <c r="L79" s="122"/>
      <c r="M79" s="122"/>
    </row>
    <row r="80" spans="1:13" s="132" customFormat="1" ht="12" customHeight="1" x14ac:dyDescent="0.3">
      <c r="A80" s="148"/>
      <c r="B80" s="71" t="str">
        <f>IF(A80="","",VLOOKUP(A80,'Database Lab+Equip'!$F:$I,2,FALSE))</f>
        <v/>
      </c>
      <c r="C80" s="142"/>
      <c r="D80" s="272"/>
      <c r="E80" s="140">
        <f>IF(A80="",0,VLOOKUP(A80,'Database Lab+Equip'!$F:$I,3,FALSE))</f>
        <v>0</v>
      </c>
      <c r="F80" s="140">
        <f>IF(A80="",0,VLOOKUP(A80,'Database Lab+Equip'!$F:$I,4,FALSE))</f>
        <v>0</v>
      </c>
      <c r="G80" s="140">
        <f t="shared" si="6"/>
        <v>0</v>
      </c>
      <c r="H80" s="140">
        <f t="shared" si="7"/>
        <v>0</v>
      </c>
      <c r="I80" s="140">
        <f t="shared" si="8"/>
        <v>0</v>
      </c>
      <c r="J80" s="84"/>
      <c r="K80" s="29"/>
      <c r="L80" s="122"/>
      <c r="M80" s="122"/>
    </row>
    <row r="81" spans="1:13" s="132" customFormat="1" ht="12" customHeight="1" x14ac:dyDescent="0.3">
      <c r="A81" s="148"/>
      <c r="B81" s="71" t="str">
        <f>IF(A81="","",VLOOKUP(A81,'Database Lab+Equip'!$F:$I,2,FALSE))</f>
        <v/>
      </c>
      <c r="C81" s="142"/>
      <c r="D81" s="272"/>
      <c r="E81" s="140">
        <f>IF(A81="",0,VLOOKUP(A81,'Database Lab+Equip'!$F:$I,3,FALSE))</f>
        <v>0</v>
      </c>
      <c r="F81" s="140">
        <f>IF(A81="",0,VLOOKUP(A81,'Database Lab+Equip'!$F:$I,4,FALSE))</f>
        <v>0</v>
      </c>
      <c r="G81" s="140">
        <f t="shared" si="6"/>
        <v>0</v>
      </c>
      <c r="H81" s="140">
        <f t="shared" si="7"/>
        <v>0</v>
      </c>
      <c r="I81" s="140">
        <f t="shared" si="8"/>
        <v>0</v>
      </c>
      <c r="J81" s="84"/>
      <c r="K81" s="29"/>
      <c r="L81" s="122"/>
      <c r="M81" s="122"/>
    </row>
    <row r="82" spans="1:13" s="132" customFormat="1" ht="12" customHeight="1" x14ac:dyDescent="0.3">
      <c r="A82" s="148"/>
      <c r="B82" s="71" t="str">
        <f>IF(A82="","",VLOOKUP(A82,'Database Lab+Equip'!$F:$I,2,FALSE))</f>
        <v/>
      </c>
      <c r="C82" s="142"/>
      <c r="D82" s="272"/>
      <c r="E82" s="140">
        <f>IF(A82="",0,VLOOKUP(A82,'Database Lab+Equip'!$F:$I,3,FALSE))</f>
        <v>0</v>
      </c>
      <c r="F82" s="140">
        <f>IF(A82="",0,VLOOKUP(A82,'Database Lab+Equip'!$F:$I,4,FALSE))</f>
        <v>0</v>
      </c>
      <c r="G82" s="140">
        <f t="shared" si="6"/>
        <v>0</v>
      </c>
      <c r="H82" s="140">
        <f t="shared" si="7"/>
        <v>0</v>
      </c>
      <c r="I82" s="140">
        <f t="shared" si="8"/>
        <v>0</v>
      </c>
      <c r="J82" s="84"/>
      <c r="K82" s="29"/>
      <c r="L82" s="122"/>
      <c r="M82" s="122"/>
    </row>
    <row r="83" spans="1:13" s="132" customFormat="1" ht="12" customHeight="1" x14ac:dyDescent="0.3">
      <c r="A83" s="148"/>
      <c r="B83" s="71" t="str">
        <f>IF(A83="","",VLOOKUP(A83,'Database Lab+Equip'!$F:$I,2,FALSE))</f>
        <v/>
      </c>
      <c r="C83" s="150"/>
      <c r="D83" s="273"/>
      <c r="E83" s="140">
        <f>IF(A83="",0,VLOOKUP(A83,'Database Lab+Equip'!$F:$I,3,FALSE))</f>
        <v>0</v>
      </c>
      <c r="F83" s="140">
        <f>IF(A83="",0,VLOOKUP(A83,'Database Lab+Equip'!$F:$I,4,FALSE))</f>
        <v>0</v>
      </c>
      <c r="G83" s="140">
        <f t="shared" si="6"/>
        <v>0</v>
      </c>
      <c r="H83" s="140">
        <f t="shared" si="7"/>
        <v>0</v>
      </c>
      <c r="I83" s="140">
        <f t="shared" si="8"/>
        <v>0</v>
      </c>
      <c r="J83" s="84"/>
      <c r="K83" s="29"/>
      <c r="L83" s="122"/>
      <c r="M83" s="122"/>
    </row>
    <row r="84" spans="1:13" s="132" customFormat="1" ht="12" customHeight="1" x14ac:dyDescent="0.3">
      <c r="A84" s="148"/>
      <c r="B84" s="71" t="str">
        <f>IF(A84="","",VLOOKUP(A84,'Database Lab+Equip'!$F:$I,2,FALSE))</f>
        <v/>
      </c>
      <c r="C84" s="150"/>
      <c r="D84" s="273"/>
      <c r="E84" s="140">
        <f>IF(A84="",0,VLOOKUP(A84,'Database Lab+Equip'!$F:$I,3,FALSE))</f>
        <v>0</v>
      </c>
      <c r="F84" s="140">
        <f>IF(A84="",0,VLOOKUP(A84,'Database Lab+Equip'!$F:$I,4,FALSE))</f>
        <v>0</v>
      </c>
      <c r="G84" s="140">
        <f t="shared" si="6"/>
        <v>0</v>
      </c>
      <c r="H84" s="140">
        <f t="shared" si="7"/>
        <v>0</v>
      </c>
      <c r="I84" s="140">
        <f>(H84*$M$66)+H84</f>
        <v>0</v>
      </c>
      <c r="J84" s="152" t="s">
        <v>108</v>
      </c>
      <c r="K84" s="153" t="s">
        <v>109</v>
      </c>
      <c r="L84" s="31"/>
      <c r="M84" s="125">
        <f>SUM(I77:I84)-SUM(G77:G84)</f>
        <v>0</v>
      </c>
    </row>
    <row r="85" spans="1:13" s="132" customFormat="1" ht="12" customHeight="1" x14ac:dyDescent="0.3">
      <c r="A85" s="72"/>
      <c r="B85" s="143"/>
      <c r="C85" s="130"/>
      <c r="D85" s="265"/>
      <c r="E85" s="122"/>
      <c r="F85" s="122"/>
      <c r="G85" s="21">
        <f>SUM(G77:G84)</f>
        <v>0</v>
      </c>
      <c r="H85" s="21">
        <f>SUM(H77:H84)</f>
        <v>0</v>
      </c>
      <c r="I85" s="21">
        <f>SUM(I77:I84)</f>
        <v>0</v>
      </c>
      <c r="J85" s="21">
        <f>G85</f>
        <v>0</v>
      </c>
      <c r="K85" s="34">
        <f>I85</f>
        <v>0</v>
      </c>
      <c r="L85" s="154">
        <f>IF(J85=0,0,(K85-J85)/J85)</f>
        <v>0</v>
      </c>
      <c r="M85" s="187">
        <f>M73+M84</f>
        <v>0</v>
      </c>
    </row>
    <row r="86" spans="1:13" s="31" customFormat="1" ht="13.8" x14ac:dyDescent="0.3">
      <c r="A86" s="110"/>
      <c r="B86" s="115"/>
      <c r="C86" s="116"/>
      <c r="D86" s="274"/>
      <c r="E86" s="117"/>
      <c r="F86" s="117"/>
      <c r="G86" s="118"/>
      <c r="H86" s="110"/>
      <c r="I86" s="161"/>
      <c r="J86" s="162">
        <f>J74+J85</f>
        <v>0</v>
      </c>
      <c r="K86" s="162">
        <f>K74+K85</f>
        <v>0</v>
      </c>
      <c r="L86" s="119">
        <f>IF(J86=0,0,(K86-J86)/K86)</f>
        <v>0</v>
      </c>
      <c r="M86" s="173"/>
    </row>
    <row r="87" spans="1:13" s="31" customFormat="1" ht="13.8" x14ac:dyDescent="0.3">
      <c r="A87" s="112"/>
      <c r="B87" s="223"/>
      <c r="C87" s="214"/>
      <c r="D87" s="275"/>
      <c r="E87" s="215"/>
      <c r="F87" s="215"/>
      <c r="G87" s="216"/>
      <c r="H87" s="112"/>
      <c r="I87" s="217"/>
      <c r="J87" s="218"/>
      <c r="K87" s="218"/>
      <c r="L87" s="224"/>
      <c r="M87" s="213"/>
    </row>
    <row r="88" spans="1:13" ht="15.6" x14ac:dyDescent="0.3">
      <c r="B88" s="241" t="s">
        <v>168</v>
      </c>
      <c r="C88" s="42"/>
      <c r="D88" s="42"/>
      <c r="E88" s="42"/>
      <c r="F88" s="129"/>
      <c r="H88" s="132"/>
      <c r="I88" s="132"/>
      <c r="L88" s="221" t="s">
        <v>85</v>
      </c>
      <c r="M88" s="222"/>
    </row>
    <row r="89" spans="1:13" s="132" customFormat="1" ht="12" customHeight="1" x14ac:dyDescent="0.3">
      <c r="A89" s="72"/>
      <c r="B89" s="24" t="s">
        <v>135</v>
      </c>
      <c r="C89" s="22"/>
      <c r="D89" s="266" t="s">
        <v>87</v>
      </c>
      <c r="E89" s="23"/>
      <c r="F89" s="133"/>
      <c r="H89" s="14"/>
      <c r="I89" s="14"/>
      <c r="J89" s="14"/>
      <c r="K89" s="14"/>
      <c r="L89" s="219" t="s">
        <v>88</v>
      </c>
      <c r="M89" s="220"/>
    </row>
    <row r="90" spans="1:13" s="132" customFormat="1" ht="12" customHeight="1" x14ac:dyDescent="0.3">
      <c r="A90" s="72"/>
      <c r="B90" s="24" t="s">
        <v>141</v>
      </c>
      <c r="C90" s="25"/>
      <c r="D90" s="266" t="s">
        <v>89</v>
      </c>
      <c r="E90" s="23"/>
      <c r="K90" s="14"/>
      <c r="L90" s="126" t="s">
        <v>90</v>
      </c>
      <c r="M90" s="127"/>
    </row>
    <row r="91" spans="1:13" s="132" customFormat="1" ht="12" customHeight="1" x14ac:dyDescent="0.3">
      <c r="A91" s="72"/>
      <c r="B91" s="24" t="s">
        <v>142</v>
      </c>
      <c r="C91" s="27" t="str">
        <f>IF(C89="","",C89/E91+C90)</f>
        <v/>
      </c>
      <c r="D91" s="266" t="s">
        <v>91</v>
      </c>
      <c r="E91" s="23"/>
      <c r="I91" s="26"/>
      <c r="J91" s="26"/>
      <c r="K91" s="14"/>
      <c r="L91" s="126" t="s">
        <v>92</v>
      </c>
      <c r="M91" s="127"/>
    </row>
    <row r="92" spans="1:13" s="132" customFormat="1" ht="12" customHeight="1" x14ac:dyDescent="0.3">
      <c r="A92" s="72"/>
      <c r="B92" s="59" t="s">
        <v>143</v>
      </c>
      <c r="C92" s="260"/>
      <c r="D92" s="266" t="s">
        <v>25</v>
      </c>
      <c r="E92" s="128">
        <f>SUM(C97:C101)</f>
        <v>0</v>
      </c>
      <c r="I92" s="26"/>
      <c r="J92" s="26"/>
      <c r="K92" s="14"/>
      <c r="L92" s="93" t="s">
        <v>94</v>
      </c>
      <c r="M92" s="94"/>
    </row>
    <row r="93" spans="1:13" s="132" customFormat="1" ht="12" customHeight="1" x14ac:dyDescent="0.3">
      <c r="A93" s="72"/>
      <c r="B93" s="59" t="s">
        <v>144</v>
      </c>
      <c r="C93" s="25"/>
      <c r="D93" s="266" t="s">
        <v>44</v>
      </c>
      <c r="E93" s="244">
        <f>IF(E92=0,0,(C91/C92)/C93)</f>
        <v>0</v>
      </c>
      <c r="I93" s="26"/>
      <c r="J93" s="26"/>
      <c r="K93" s="14"/>
      <c r="L93" s="57" t="s">
        <v>70</v>
      </c>
      <c r="M93" s="58">
        <f>$M$9</f>
        <v>0.05</v>
      </c>
    </row>
    <row r="94" spans="1:13" s="132" customFormat="1" ht="12" customHeight="1" x14ac:dyDescent="0.3">
      <c r="A94" s="72"/>
      <c r="B94" s="28"/>
      <c r="C94" s="122"/>
      <c r="D94" s="267"/>
      <c r="E94" s="211"/>
      <c r="I94" s="26"/>
      <c r="J94" s="26"/>
      <c r="K94" s="14"/>
      <c r="L94" s="57" t="s">
        <v>80</v>
      </c>
      <c r="M94" s="58">
        <f>$M$10</f>
        <v>0.05</v>
      </c>
    </row>
    <row r="95" spans="1:13" s="132" customFormat="1" ht="12" customHeight="1" x14ac:dyDescent="0.3">
      <c r="A95" s="72"/>
      <c r="B95" s="28"/>
      <c r="C95" s="28"/>
      <c r="D95" s="43"/>
      <c r="H95" s="29"/>
      <c r="I95" s="29"/>
      <c r="J95" s="29"/>
      <c r="K95" s="29"/>
      <c r="M95" s="71"/>
    </row>
    <row r="96" spans="1:13" s="132" customFormat="1" ht="27.6" x14ac:dyDescent="0.3">
      <c r="A96" s="246" t="s">
        <v>145</v>
      </c>
      <c r="B96" s="246" t="s">
        <v>70</v>
      </c>
      <c r="C96" s="48" t="s">
        <v>47</v>
      </c>
      <c r="D96" s="135" t="s">
        <v>97</v>
      </c>
      <c r="E96" s="48" t="s">
        <v>98</v>
      </c>
      <c r="F96" s="48" t="s">
        <v>99</v>
      </c>
      <c r="G96" s="48" t="s">
        <v>22</v>
      </c>
      <c r="H96" s="48" t="s">
        <v>23</v>
      </c>
      <c r="I96" s="135" t="s">
        <v>100</v>
      </c>
      <c r="J96" s="136"/>
      <c r="K96" s="52"/>
      <c r="L96" s="48" t="s">
        <v>101</v>
      </c>
      <c r="M96" s="48" t="s">
        <v>0</v>
      </c>
    </row>
    <row r="97" spans="1:13" s="132" customFormat="1" ht="12" customHeight="1" x14ac:dyDescent="0.3">
      <c r="A97" s="137"/>
      <c r="B97" s="71" t="str">
        <f>IF(A97="","",VLOOKUP(A97,'Database Lab+Equip'!$A:$D,2,FALSE))</f>
        <v/>
      </c>
      <c r="C97" s="139"/>
      <c r="D97" s="268"/>
      <c r="E97" s="140">
        <f>IF(A97="",0,VLOOKUP(A97,'Database Lab+Equip'!$A:$D,3,FALSE))</f>
        <v>0</v>
      </c>
      <c r="F97" s="140">
        <f>IF(A97="",0,VLOOKUP(A97,'Database Lab+Equip'!$A:$D,4,FALSE))</f>
        <v>0</v>
      </c>
      <c r="G97" s="140">
        <f>IF(A97="",0,C97*D97*E97*E$93)</f>
        <v>0</v>
      </c>
      <c r="H97" s="140">
        <f>IF(A97="",0,C97*D97*F97*E$93)</f>
        <v>0</v>
      </c>
      <c r="I97" s="140">
        <f>(H97*$M$93)+H97</f>
        <v>0</v>
      </c>
      <c r="J97" s="154"/>
      <c r="K97" s="26"/>
      <c r="M97" s="84"/>
    </row>
    <row r="98" spans="1:13" s="132" customFormat="1" ht="12" customHeight="1" x14ac:dyDescent="0.3">
      <c r="A98" s="137"/>
      <c r="B98" s="71" t="str">
        <f>IF(A98="","",VLOOKUP(A98,'Database Lab+Equip'!$A:$D,2,FALSE))</f>
        <v/>
      </c>
      <c r="C98" s="142"/>
      <c r="D98" s="269"/>
      <c r="E98" s="140">
        <f>IF(A98="",0,VLOOKUP(A98,'Database Lab+Equip'!$A:$D,3,FALSE))</f>
        <v>0</v>
      </c>
      <c r="F98" s="140">
        <f>IF(A98="",0,VLOOKUP(A98,'Database Lab+Equip'!$A:$D,4,FALSE))</f>
        <v>0</v>
      </c>
      <c r="G98" s="140">
        <f>IF(A98="",0,C98*D98*E98*E$93)</f>
        <v>0</v>
      </c>
      <c r="H98" s="140">
        <f>IF(A98="",0,C98*D98*F98*E$93)</f>
        <v>0</v>
      </c>
      <c r="I98" s="140">
        <f>(H98*$M$93)+H98</f>
        <v>0</v>
      </c>
      <c r="J98" s="154"/>
      <c r="K98" s="26"/>
      <c r="M98" s="122"/>
    </row>
    <row r="99" spans="1:13" s="132" customFormat="1" ht="12" customHeight="1" x14ac:dyDescent="0.3">
      <c r="A99" s="137"/>
      <c r="B99" s="71" t="str">
        <f>IF(A99="","",VLOOKUP(A99,'Database Lab+Equip'!$A:$D,2,FALSE))</f>
        <v/>
      </c>
      <c r="C99" s="142"/>
      <c r="D99" s="269"/>
      <c r="E99" s="140">
        <f>IF(A99="",0,VLOOKUP(A99,'Database Lab+Equip'!$A:$D,3,FALSE))</f>
        <v>0</v>
      </c>
      <c r="F99" s="140">
        <f>IF(A99="",0,VLOOKUP(A99,'Database Lab+Equip'!$A:$D,4,FALSE))</f>
        <v>0</v>
      </c>
      <c r="G99" s="140">
        <f>IF(A99="",0,C99*D99*E99*E$93)</f>
        <v>0</v>
      </c>
      <c r="H99" s="140">
        <f>IF(A99="",0,C99*D99*F99*E$93)</f>
        <v>0</v>
      </c>
      <c r="I99" s="140">
        <f>(H99*$M$93)+H99</f>
        <v>0</v>
      </c>
      <c r="J99" s="154"/>
      <c r="K99" s="26"/>
      <c r="M99" s="122"/>
    </row>
    <row r="100" spans="1:13" s="132" customFormat="1" ht="12" customHeight="1" x14ac:dyDescent="0.3">
      <c r="A100" s="137"/>
      <c r="B100" s="71" t="str">
        <f>IF(A100="","",VLOOKUP(A100,'Database Lab+Equip'!$A:$D,2,FALSE))</f>
        <v/>
      </c>
      <c r="C100" s="142"/>
      <c r="D100" s="269"/>
      <c r="E100" s="140">
        <f>IF(A100="",0,VLOOKUP(A100,'Database Lab+Equip'!$A:$D,3,FALSE))</f>
        <v>0</v>
      </c>
      <c r="F100" s="140">
        <f>IF(A100="",0,VLOOKUP(A100,'Database Lab+Equip'!$A:$D,4,FALSE))</f>
        <v>0</v>
      </c>
      <c r="G100" s="140">
        <f>IF(A100="",0,C100*D100*E100*E$93)</f>
        <v>0</v>
      </c>
      <c r="H100" s="140">
        <f>IF(A100="",0,C100*D100*F100*E$93)</f>
        <v>0</v>
      </c>
      <c r="I100" s="140">
        <f>(H100*$M$93)+H100</f>
        <v>0</v>
      </c>
      <c r="J100" s="154"/>
      <c r="K100" s="26"/>
      <c r="M100" s="122"/>
    </row>
    <row r="101" spans="1:13" s="132" customFormat="1" ht="12" customHeight="1" x14ac:dyDescent="0.3">
      <c r="A101" s="137"/>
      <c r="B101" s="71" t="str">
        <f>IF(A101="","",VLOOKUP(A101,'Database Lab+Equip'!$A:$D,2,FALSE))</f>
        <v/>
      </c>
      <c r="C101" s="142"/>
      <c r="D101" s="269"/>
      <c r="E101" s="140">
        <f>IF(A101="",0,VLOOKUP(A101,'Database Lab+Equip'!$A:$D,3,FALSE))</f>
        <v>0</v>
      </c>
      <c r="F101" s="140">
        <f>IF(A101="",0,VLOOKUP(A101,'Database Lab+Equip'!$A:$D,4,FALSE))</f>
        <v>0</v>
      </c>
      <c r="G101" s="140">
        <f>IF(A101="",0,C101*D101*E101*E$93)</f>
        <v>0</v>
      </c>
      <c r="H101" s="140">
        <f>IF(A101="",0,C101*D101*F101*E$93)</f>
        <v>0</v>
      </c>
      <c r="I101" s="140">
        <f>(H101*$M$93)+H101</f>
        <v>0</v>
      </c>
      <c r="J101" s="152" t="s">
        <v>108</v>
      </c>
      <c r="K101" s="153" t="s">
        <v>109</v>
      </c>
      <c r="L101" s="31"/>
      <c r="M101" s="123">
        <f>SUM(I97:I101)-SUM(G97:G101)</f>
        <v>0</v>
      </c>
    </row>
    <row r="102" spans="1:13" s="132" customFormat="1" ht="12" customHeight="1" x14ac:dyDescent="0.3">
      <c r="A102" s="35"/>
      <c r="C102" s="140"/>
      <c r="D102" s="270"/>
      <c r="E102" s="140"/>
      <c r="F102" s="140"/>
      <c r="G102" s="21">
        <f>SUM(G97:G101)</f>
        <v>0</v>
      </c>
      <c r="H102" s="21">
        <f>SUM(H97:H101)</f>
        <v>0</v>
      </c>
      <c r="I102" s="21">
        <f>SUM(I97:I101)</f>
        <v>0</v>
      </c>
      <c r="J102" s="21">
        <f>G102</f>
        <v>0</v>
      </c>
      <c r="K102" s="34">
        <f>I102</f>
        <v>0</v>
      </c>
      <c r="L102" s="154">
        <f>IF(J102=0,0,(K102-J102)/J102)</f>
        <v>0</v>
      </c>
      <c r="M102" s="122"/>
    </row>
    <row r="103" spans="1:13" s="132" customFormat="1" ht="12" customHeight="1" x14ac:dyDescent="0.3">
      <c r="A103" s="35"/>
      <c r="B103" s="71"/>
      <c r="C103" s="122"/>
      <c r="D103" s="265"/>
      <c r="E103" s="122"/>
      <c r="F103" s="122"/>
      <c r="G103" s="122"/>
      <c r="H103" s="122"/>
      <c r="I103" s="144"/>
      <c r="J103" s="84"/>
      <c r="K103" s="29"/>
      <c r="L103" s="122"/>
      <c r="M103" s="122"/>
    </row>
    <row r="104" spans="1:13" s="132" customFormat="1" ht="41.4" x14ac:dyDescent="0.3">
      <c r="A104" s="246" t="s">
        <v>96</v>
      </c>
      <c r="B104" s="246" t="s">
        <v>80</v>
      </c>
      <c r="C104" s="48" t="s">
        <v>47</v>
      </c>
      <c r="D104" s="135" t="s">
        <v>110</v>
      </c>
      <c r="E104" s="48" t="s">
        <v>98</v>
      </c>
      <c r="F104" s="48" t="s">
        <v>99</v>
      </c>
      <c r="G104" s="48" t="s">
        <v>22</v>
      </c>
      <c r="H104" s="48" t="s">
        <v>23</v>
      </c>
      <c r="I104" s="135" t="s">
        <v>100</v>
      </c>
      <c r="J104" s="145"/>
      <c r="K104" s="48"/>
      <c r="L104" s="124"/>
      <c r="M104" s="124"/>
    </row>
    <row r="105" spans="1:13" s="132" customFormat="1" ht="12" customHeight="1" x14ac:dyDescent="0.3">
      <c r="A105" s="148"/>
      <c r="B105" s="71" t="str">
        <f>IF(A105="","",VLOOKUP(A105,'Database Lab+Equip'!$F:$I,2,FALSE))</f>
        <v/>
      </c>
      <c r="C105" s="139"/>
      <c r="D105" s="271"/>
      <c r="E105" s="140">
        <f>IF(A105="",0,VLOOKUP(A105,'Database Lab+Equip'!$F:$I,3,FALSE))</f>
        <v>0</v>
      </c>
      <c r="F105" s="140">
        <f>IF(A105="",0,VLOOKUP(A105,'Database Lab+Equip'!$F:$I,4,FALSE))</f>
        <v>0</v>
      </c>
      <c r="G105" s="140">
        <f>IF(A105="",0,C105*D105*E105*E$93)</f>
        <v>0</v>
      </c>
      <c r="H105" s="140">
        <f>IF(A105="",0,C105*D105*F105*E$93)</f>
        <v>0</v>
      </c>
      <c r="I105" s="140">
        <f>(H105*$M$94)+H105</f>
        <v>0</v>
      </c>
      <c r="J105" s="84"/>
      <c r="K105" s="29"/>
      <c r="L105" s="122"/>
      <c r="M105" s="84"/>
    </row>
    <row r="106" spans="1:13" s="132" customFormat="1" ht="12" customHeight="1" x14ac:dyDescent="0.3">
      <c r="A106" s="148"/>
      <c r="B106" s="71" t="str">
        <f>IF(A106="","",VLOOKUP(A106,'Database Lab+Equip'!$F:$I,2,FALSE))</f>
        <v/>
      </c>
      <c r="C106" s="142"/>
      <c r="D106" s="272"/>
      <c r="E106" s="140">
        <f>IF(A106="",0,VLOOKUP(A106,'Database Lab+Equip'!$F:$I,3,FALSE))</f>
        <v>0</v>
      </c>
      <c r="F106" s="140">
        <f>IF(A106="",0,VLOOKUP(A106,'Database Lab+Equip'!$F:$I,4,FALSE))</f>
        <v>0</v>
      </c>
      <c r="G106" s="140">
        <f t="shared" ref="G106:G112" si="9">IF(A106="",0,C106*D106*E106*E$93)</f>
        <v>0</v>
      </c>
      <c r="H106" s="140">
        <f t="shared" ref="H106:H112" si="10">IF(A106="",0,C106*D106*F106*E$93)</f>
        <v>0</v>
      </c>
      <c r="I106" s="140">
        <f t="shared" ref="I106:I112" si="11">(H106*$M$94)+H106</f>
        <v>0</v>
      </c>
      <c r="J106" s="122"/>
      <c r="K106" s="29"/>
      <c r="L106" s="122"/>
      <c r="M106" s="122"/>
    </row>
    <row r="107" spans="1:13" s="132" customFormat="1" ht="12" customHeight="1" x14ac:dyDescent="0.3">
      <c r="A107" s="148"/>
      <c r="B107" s="71" t="str">
        <f>IF(A107="","",VLOOKUP(A107,'Database Lab+Equip'!$F:$I,2,FALSE))</f>
        <v/>
      </c>
      <c r="C107" s="142"/>
      <c r="D107" s="272"/>
      <c r="E107" s="140">
        <f>IF(A107="",0,VLOOKUP(A107,'Database Lab+Equip'!$F:$I,3,FALSE))</f>
        <v>0</v>
      </c>
      <c r="F107" s="140">
        <f>IF(A107="",0,VLOOKUP(A107,'Database Lab+Equip'!$F:$I,4,FALSE))</f>
        <v>0</v>
      </c>
      <c r="G107" s="140">
        <f t="shared" si="9"/>
        <v>0</v>
      </c>
      <c r="H107" s="140">
        <f t="shared" si="10"/>
        <v>0</v>
      </c>
      <c r="I107" s="140">
        <f t="shared" si="11"/>
        <v>0</v>
      </c>
      <c r="J107" s="84"/>
      <c r="K107" s="29"/>
      <c r="L107" s="122"/>
      <c r="M107" s="122"/>
    </row>
    <row r="108" spans="1:13" s="132" customFormat="1" ht="12" customHeight="1" x14ac:dyDescent="0.3">
      <c r="A108" s="148"/>
      <c r="B108" s="71" t="str">
        <f>IF(A108="","",VLOOKUP(A108,'Database Lab+Equip'!$F:$I,2,FALSE))</f>
        <v/>
      </c>
      <c r="C108" s="142"/>
      <c r="D108" s="272"/>
      <c r="E108" s="140">
        <f>IF(A108="",0,VLOOKUP(A108,'Database Lab+Equip'!$F:$I,3,FALSE))</f>
        <v>0</v>
      </c>
      <c r="F108" s="140">
        <f>IF(A108="",0,VLOOKUP(A108,'Database Lab+Equip'!$F:$I,4,FALSE))</f>
        <v>0</v>
      </c>
      <c r="G108" s="140">
        <f t="shared" si="9"/>
        <v>0</v>
      </c>
      <c r="H108" s="140">
        <f t="shared" si="10"/>
        <v>0</v>
      </c>
      <c r="I108" s="140">
        <f t="shared" si="11"/>
        <v>0</v>
      </c>
      <c r="J108" s="84"/>
      <c r="K108" s="29"/>
      <c r="L108" s="122"/>
      <c r="M108" s="122"/>
    </row>
    <row r="109" spans="1:13" s="132" customFormat="1" ht="12" customHeight="1" x14ac:dyDescent="0.3">
      <c r="A109" s="148"/>
      <c r="B109" s="71" t="str">
        <f>IF(A109="","",VLOOKUP(A109,'Database Lab+Equip'!$F:$I,2,FALSE))</f>
        <v/>
      </c>
      <c r="C109" s="142"/>
      <c r="D109" s="272"/>
      <c r="E109" s="140">
        <f>IF(A109="",0,VLOOKUP(A109,'Database Lab+Equip'!$F:$I,3,FALSE))</f>
        <v>0</v>
      </c>
      <c r="F109" s="140">
        <f>IF(A109="",0,VLOOKUP(A109,'Database Lab+Equip'!$F:$I,4,FALSE))</f>
        <v>0</v>
      </c>
      <c r="G109" s="140">
        <f t="shared" si="9"/>
        <v>0</v>
      </c>
      <c r="H109" s="140">
        <f t="shared" si="10"/>
        <v>0</v>
      </c>
      <c r="I109" s="140">
        <f t="shared" si="11"/>
        <v>0</v>
      </c>
      <c r="J109" s="84"/>
      <c r="K109" s="29"/>
      <c r="L109" s="122"/>
      <c r="M109" s="122"/>
    </row>
    <row r="110" spans="1:13" s="132" customFormat="1" ht="12" customHeight="1" x14ac:dyDescent="0.3">
      <c r="A110" s="148"/>
      <c r="B110" s="71" t="str">
        <f>IF(A110="","",VLOOKUP(A110,'Database Lab+Equip'!$F:$I,2,FALSE))</f>
        <v/>
      </c>
      <c r="C110" s="142"/>
      <c r="D110" s="272"/>
      <c r="E110" s="140">
        <f>IF(A110="",0,VLOOKUP(A110,'Database Lab+Equip'!$F:$I,3,FALSE))</f>
        <v>0</v>
      </c>
      <c r="F110" s="140">
        <f>IF(A110="",0,VLOOKUP(A110,'Database Lab+Equip'!$F:$I,4,FALSE))</f>
        <v>0</v>
      </c>
      <c r="G110" s="140">
        <f t="shared" si="9"/>
        <v>0</v>
      </c>
      <c r="H110" s="140">
        <f t="shared" si="10"/>
        <v>0</v>
      </c>
      <c r="I110" s="140">
        <f t="shared" si="11"/>
        <v>0</v>
      </c>
      <c r="J110" s="84"/>
      <c r="K110" s="29"/>
      <c r="L110" s="122"/>
      <c r="M110" s="122"/>
    </row>
    <row r="111" spans="1:13" s="132" customFormat="1" ht="12" customHeight="1" x14ac:dyDescent="0.3">
      <c r="A111" s="148"/>
      <c r="B111" s="71" t="str">
        <f>IF(A111="","",VLOOKUP(A111,'Database Lab+Equip'!$F:$I,2,FALSE))</f>
        <v/>
      </c>
      <c r="C111" s="150"/>
      <c r="D111" s="273"/>
      <c r="E111" s="140">
        <f>IF(A111="",0,VLOOKUP(A111,'Database Lab+Equip'!$F:$I,3,FALSE))</f>
        <v>0</v>
      </c>
      <c r="F111" s="140">
        <f>IF(A111="",0,VLOOKUP(A111,'Database Lab+Equip'!$F:$I,4,FALSE))</f>
        <v>0</v>
      </c>
      <c r="G111" s="140">
        <f t="shared" si="9"/>
        <v>0</v>
      </c>
      <c r="H111" s="140">
        <f t="shared" si="10"/>
        <v>0</v>
      </c>
      <c r="I111" s="140">
        <f t="shared" si="11"/>
        <v>0</v>
      </c>
      <c r="J111" s="84"/>
      <c r="K111" s="29"/>
      <c r="L111" s="122"/>
      <c r="M111" s="122"/>
    </row>
    <row r="112" spans="1:13" s="132" customFormat="1" ht="12" customHeight="1" x14ac:dyDescent="0.3">
      <c r="A112" s="148"/>
      <c r="B112" s="71" t="str">
        <f>IF(A112="","",VLOOKUP(A112,'Database Lab+Equip'!$F:$I,2,FALSE))</f>
        <v/>
      </c>
      <c r="C112" s="150"/>
      <c r="D112" s="273"/>
      <c r="E112" s="140">
        <f>IF(A112="",0,VLOOKUP(A112,'Database Lab+Equip'!$F:$I,3,FALSE))</f>
        <v>0</v>
      </c>
      <c r="F112" s="140">
        <f>IF(A112="",0,VLOOKUP(A112,'Database Lab+Equip'!$F:$I,4,FALSE))</f>
        <v>0</v>
      </c>
      <c r="G112" s="140">
        <f t="shared" si="9"/>
        <v>0</v>
      </c>
      <c r="H112" s="140">
        <f t="shared" si="10"/>
        <v>0</v>
      </c>
      <c r="I112" s="140">
        <f t="shared" si="11"/>
        <v>0</v>
      </c>
      <c r="J112" s="152" t="s">
        <v>108</v>
      </c>
      <c r="K112" s="153" t="s">
        <v>109</v>
      </c>
      <c r="L112" s="31"/>
      <c r="M112" s="125">
        <f>SUM(I105:I112)-SUM(G105:G112)</f>
        <v>0</v>
      </c>
    </row>
    <row r="113" spans="1:13" s="132" customFormat="1" ht="12" customHeight="1" x14ac:dyDescent="0.3">
      <c r="A113" s="72"/>
      <c r="B113" s="143"/>
      <c r="C113" s="130"/>
      <c r="D113" s="265"/>
      <c r="E113" s="122"/>
      <c r="F113" s="122"/>
      <c r="G113" s="21">
        <f>SUM(G105:G112)</f>
        <v>0</v>
      </c>
      <c r="H113" s="21">
        <f>SUM(H105:H112)</f>
        <v>0</v>
      </c>
      <c r="I113" s="21">
        <f>SUM(I105:I112)</f>
        <v>0</v>
      </c>
      <c r="J113" s="21">
        <f>G113</f>
        <v>0</v>
      </c>
      <c r="K113" s="34">
        <f>I113</f>
        <v>0</v>
      </c>
      <c r="L113" s="154">
        <f>IF(J113=0,0,(K113-J113)/J113)</f>
        <v>0</v>
      </c>
      <c r="M113" s="187">
        <f>M101+M112</f>
        <v>0</v>
      </c>
    </row>
    <row r="114" spans="1:13" s="31" customFormat="1" ht="13.8" x14ac:dyDescent="0.3">
      <c r="A114" s="110"/>
      <c r="B114" s="115"/>
      <c r="C114" s="116"/>
      <c r="D114" s="274"/>
      <c r="E114" s="117"/>
      <c r="F114" s="117"/>
      <c r="G114" s="118"/>
      <c r="H114" s="110"/>
      <c r="I114" s="161"/>
      <c r="J114" s="162">
        <f>J102+J113</f>
        <v>0</v>
      </c>
      <c r="K114" s="162">
        <f>K102+K113</f>
        <v>0</v>
      </c>
      <c r="L114" s="119">
        <f>IF(J114=0,0,(K114-J114)/K114)</f>
        <v>0</v>
      </c>
      <c r="M114" s="173"/>
    </row>
    <row r="115" spans="1:13" s="31" customFormat="1" ht="13.8" x14ac:dyDescent="0.3">
      <c r="A115" s="112"/>
      <c r="B115" s="223"/>
      <c r="C115" s="214"/>
      <c r="D115" s="275"/>
      <c r="E115" s="215"/>
      <c r="F115" s="215"/>
      <c r="G115" s="216"/>
      <c r="H115" s="112"/>
      <c r="I115" s="217"/>
      <c r="J115" s="218"/>
      <c r="K115" s="218"/>
      <c r="L115" s="224"/>
      <c r="M115" s="213"/>
    </row>
    <row r="116" spans="1:13" ht="15.6" x14ac:dyDescent="0.3">
      <c r="B116" s="241" t="s">
        <v>169</v>
      </c>
      <c r="C116" s="42"/>
      <c r="D116" s="42"/>
      <c r="E116" s="42"/>
      <c r="F116" s="129"/>
      <c r="H116" s="132"/>
      <c r="I116" s="132"/>
      <c r="L116" s="221" t="s">
        <v>85</v>
      </c>
      <c r="M116" s="222"/>
    </row>
    <row r="117" spans="1:13" s="132" customFormat="1" ht="12" customHeight="1" x14ac:dyDescent="0.3">
      <c r="A117" s="72"/>
      <c r="B117" s="24" t="s">
        <v>135</v>
      </c>
      <c r="C117" s="22"/>
      <c r="D117" s="266" t="s">
        <v>87</v>
      </c>
      <c r="E117" s="23"/>
      <c r="F117" s="133"/>
      <c r="H117" s="14"/>
      <c r="I117" s="14"/>
      <c r="J117" s="14"/>
      <c r="K117" s="14"/>
      <c r="L117" s="219" t="s">
        <v>88</v>
      </c>
      <c r="M117" s="220"/>
    </row>
    <row r="118" spans="1:13" s="132" customFormat="1" ht="12" customHeight="1" x14ac:dyDescent="0.3">
      <c r="A118" s="72"/>
      <c r="B118" s="24" t="s">
        <v>141</v>
      </c>
      <c r="C118" s="25"/>
      <c r="D118" s="266" t="s">
        <v>89</v>
      </c>
      <c r="E118" s="23"/>
      <c r="K118" s="14"/>
      <c r="L118" s="126" t="s">
        <v>90</v>
      </c>
      <c r="M118" s="127"/>
    </row>
    <row r="119" spans="1:13" s="132" customFormat="1" ht="12" customHeight="1" x14ac:dyDescent="0.3">
      <c r="A119" s="72"/>
      <c r="B119" s="24" t="s">
        <v>142</v>
      </c>
      <c r="C119" s="27" t="str">
        <f>IF(C117="","",C117/E119+C118)</f>
        <v/>
      </c>
      <c r="D119" s="266" t="s">
        <v>91</v>
      </c>
      <c r="E119" s="23"/>
      <c r="I119" s="26"/>
      <c r="J119" s="26"/>
      <c r="K119" s="14"/>
      <c r="L119" s="126" t="s">
        <v>92</v>
      </c>
      <c r="M119" s="127"/>
    </row>
    <row r="120" spans="1:13" s="132" customFormat="1" ht="12" customHeight="1" x14ac:dyDescent="0.3">
      <c r="A120" s="72"/>
      <c r="B120" s="59" t="s">
        <v>143</v>
      </c>
      <c r="C120" s="260"/>
      <c r="D120" s="266" t="s">
        <v>25</v>
      </c>
      <c r="E120" s="128">
        <f>SUM(C125:C129)</f>
        <v>0</v>
      </c>
      <c r="I120" s="26"/>
      <c r="J120" s="26"/>
      <c r="K120" s="14"/>
      <c r="L120" s="93" t="s">
        <v>94</v>
      </c>
      <c r="M120" s="94"/>
    </row>
    <row r="121" spans="1:13" s="132" customFormat="1" ht="12" customHeight="1" x14ac:dyDescent="0.3">
      <c r="A121" s="72"/>
      <c r="B121" s="59" t="s">
        <v>144</v>
      </c>
      <c r="C121" s="25"/>
      <c r="D121" s="266" t="s">
        <v>44</v>
      </c>
      <c r="E121" s="244">
        <f>IF(E120=0,0,(C119/C120)/C121)</f>
        <v>0</v>
      </c>
      <c r="I121" s="26"/>
      <c r="J121" s="26"/>
      <c r="K121" s="14"/>
      <c r="L121" s="57" t="s">
        <v>70</v>
      </c>
      <c r="M121" s="58">
        <f>$M$9</f>
        <v>0.05</v>
      </c>
    </row>
    <row r="122" spans="1:13" s="132" customFormat="1" ht="12" customHeight="1" x14ac:dyDescent="0.3">
      <c r="A122" s="72"/>
      <c r="B122" s="28"/>
      <c r="C122" s="122"/>
      <c r="D122" s="267"/>
      <c r="E122" s="211"/>
      <c r="I122" s="26"/>
      <c r="J122" s="26"/>
      <c r="K122" s="14"/>
      <c r="L122" s="57" t="s">
        <v>80</v>
      </c>
      <c r="M122" s="58">
        <f>$M$10</f>
        <v>0.05</v>
      </c>
    </row>
    <row r="123" spans="1:13" s="132" customFormat="1" ht="12" customHeight="1" x14ac:dyDescent="0.3">
      <c r="A123" s="72"/>
      <c r="B123" s="28"/>
      <c r="C123" s="28"/>
      <c r="D123" s="43"/>
      <c r="H123" s="29"/>
      <c r="I123" s="29"/>
      <c r="J123" s="29"/>
      <c r="K123" s="29"/>
      <c r="M123" s="71"/>
    </row>
    <row r="124" spans="1:13" s="132" customFormat="1" ht="27.6" x14ac:dyDescent="0.3">
      <c r="A124" s="246" t="s">
        <v>145</v>
      </c>
      <c r="B124" s="246" t="s">
        <v>70</v>
      </c>
      <c r="C124" s="48" t="s">
        <v>47</v>
      </c>
      <c r="D124" s="135" t="s">
        <v>97</v>
      </c>
      <c r="E124" s="48" t="s">
        <v>98</v>
      </c>
      <c r="F124" s="48" t="s">
        <v>99</v>
      </c>
      <c r="G124" s="48" t="s">
        <v>22</v>
      </c>
      <c r="H124" s="48" t="s">
        <v>23</v>
      </c>
      <c r="I124" s="135" t="s">
        <v>100</v>
      </c>
      <c r="J124" s="136"/>
      <c r="K124" s="52"/>
      <c r="L124" s="48" t="s">
        <v>101</v>
      </c>
      <c r="M124" s="48" t="s">
        <v>0</v>
      </c>
    </row>
    <row r="125" spans="1:13" s="132" customFormat="1" ht="12" customHeight="1" x14ac:dyDescent="0.3">
      <c r="A125" s="137"/>
      <c r="B125" s="71" t="str">
        <f>IF(A125="","",VLOOKUP(A125,'Database Lab+Equip'!$A:$D,2,FALSE))</f>
        <v/>
      </c>
      <c r="C125" s="139"/>
      <c r="D125" s="268"/>
      <c r="E125" s="140">
        <f>IF(A125="",0,VLOOKUP(A125,'Database Lab+Equip'!$A:$D,3,FALSE))</f>
        <v>0</v>
      </c>
      <c r="F125" s="140">
        <f>IF(A125="",0,VLOOKUP(A125,'Database Lab+Equip'!$A:$D,4,FALSE))</f>
        <v>0</v>
      </c>
      <c r="G125" s="140">
        <f>IF(A125="",0,C125*D125*E125*E$121)</f>
        <v>0</v>
      </c>
      <c r="H125" s="140">
        <f>IF(A125="",0,C125*D125*F125*E$121)</f>
        <v>0</v>
      </c>
      <c r="I125" s="140">
        <f>(H125*$M$121)+H125</f>
        <v>0</v>
      </c>
      <c r="J125" s="154"/>
      <c r="K125" s="26"/>
      <c r="M125" s="84"/>
    </row>
    <row r="126" spans="1:13" s="132" customFormat="1" ht="12" customHeight="1" x14ac:dyDescent="0.3">
      <c r="A126" s="137"/>
      <c r="B126" s="71" t="str">
        <f>IF(A126="","",VLOOKUP(A126,'Database Lab+Equip'!$A:$D,2,FALSE))</f>
        <v/>
      </c>
      <c r="C126" s="142"/>
      <c r="D126" s="269"/>
      <c r="E126" s="140">
        <f>IF(A126="",0,VLOOKUP(A126,'Database Lab+Equip'!$A:$D,3,FALSE))</f>
        <v>0</v>
      </c>
      <c r="F126" s="140">
        <f>IF(A126="",0,VLOOKUP(A126,'Database Lab+Equip'!$A:$D,4,FALSE))</f>
        <v>0</v>
      </c>
      <c r="G126" s="140">
        <f>IF(A126="",0,C126*D126*E126*E$121)</f>
        <v>0</v>
      </c>
      <c r="H126" s="140">
        <f>IF(A126="",0,C126*D126*F126*E$121)</f>
        <v>0</v>
      </c>
      <c r="I126" s="140">
        <f>(H126*$M$121)+H126</f>
        <v>0</v>
      </c>
      <c r="J126" s="154"/>
      <c r="K126" s="26"/>
      <c r="M126" s="122"/>
    </row>
    <row r="127" spans="1:13" s="132" customFormat="1" ht="12" customHeight="1" x14ac:dyDescent="0.3">
      <c r="A127" s="137"/>
      <c r="B127" s="71" t="str">
        <f>IF(A127="","",VLOOKUP(A127,'Database Lab+Equip'!$A:$D,2,FALSE))</f>
        <v/>
      </c>
      <c r="C127" s="142"/>
      <c r="D127" s="269"/>
      <c r="E127" s="140">
        <f>IF(A127="",0,VLOOKUP(A127,'Database Lab+Equip'!$A:$D,3,FALSE))</f>
        <v>0</v>
      </c>
      <c r="F127" s="140">
        <f>IF(A127="",0,VLOOKUP(A127,'Database Lab+Equip'!$A:$D,4,FALSE))</f>
        <v>0</v>
      </c>
      <c r="G127" s="140">
        <f>IF(A127="",0,C127*D127*E127*E$121)</f>
        <v>0</v>
      </c>
      <c r="H127" s="140">
        <f>IF(A127="",0,C127*D127*F127*E$121)</f>
        <v>0</v>
      </c>
      <c r="I127" s="140">
        <f>(H127*$M$121)+H127</f>
        <v>0</v>
      </c>
      <c r="J127" s="154"/>
      <c r="K127" s="26"/>
      <c r="M127" s="122"/>
    </row>
    <row r="128" spans="1:13" s="132" customFormat="1" ht="12" customHeight="1" x14ac:dyDescent="0.3">
      <c r="A128" s="137"/>
      <c r="B128" s="71" t="str">
        <f>IF(A128="","",VLOOKUP(A128,'Database Lab+Equip'!$A:$D,2,FALSE))</f>
        <v/>
      </c>
      <c r="C128" s="142"/>
      <c r="D128" s="269"/>
      <c r="E128" s="140">
        <f>IF(A128="",0,VLOOKUP(A128,'Database Lab+Equip'!$A:$D,3,FALSE))</f>
        <v>0</v>
      </c>
      <c r="F128" s="140">
        <f>IF(A128="",0,VLOOKUP(A128,'Database Lab+Equip'!$A:$D,4,FALSE))</f>
        <v>0</v>
      </c>
      <c r="G128" s="140">
        <f>IF(A128="",0,C128*D128*E128*E$121)</f>
        <v>0</v>
      </c>
      <c r="H128" s="140">
        <f>IF(A128="",0,C128*D128*F128*E$121)</f>
        <v>0</v>
      </c>
      <c r="I128" s="140">
        <f>(H128*$M$121)+H128</f>
        <v>0</v>
      </c>
      <c r="J128" s="154"/>
      <c r="K128" s="26"/>
      <c r="M128" s="122"/>
    </row>
    <row r="129" spans="1:13" s="132" customFormat="1" ht="12" customHeight="1" x14ac:dyDescent="0.3">
      <c r="A129" s="137"/>
      <c r="B129" s="71" t="str">
        <f>IF(A129="","",VLOOKUP(A129,'Database Lab+Equip'!$A:$D,2,FALSE))</f>
        <v/>
      </c>
      <c r="C129" s="142"/>
      <c r="D129" s="269"/>
      <c r="E129" s="140">
        <f>IF(A129="",0,VLOOKUP(A129,'Database Lab+Equip'!$A:$D,3,FALSE))</f>
        <v>0</v>
      </c>
      <c r="F129" s="140">
        <f>IF(A129="",0,VLOOKUP(A129,'Database Lab+Equip'!$A:$D,4,FALSE))</f>
        <v>0</v>
      </c>
      <c r="G129" s="140">
        <f>IF(A129="",0,C129*D129*E129*E$121)</f>
        <v>0</v>
      </c>
      <c r="H129" s="140">
        <f>IF(A129="",0,C129*D129*F129*E$121)</f>
        <v>0</v>
      </c>
      <c r="I129" s="140">
        <f>(H129*$M$121)+H129</f>
        <v>0</v>
      </c>
      <c r="J129" s="152" t="s">
        <v>108</v>
      </c>
      <c r="K129" s="153" t="s">
        <v>109</v>
      </c>
      <c r="L129" s="31"/>
      <c r="M129" s="123">
        <f>SUM(I125:I129)-SUM(G125:G129)</f>
        <v>0</v>
      </c>
    </row>
    <row r="130" spans="1:13" s="132" customFormat="1" ht="12" customHeight="1" x14ac:dyDescent="0.3">
      <c r="A130" s="35"/>
      <c r="C130" s="140"/>
      <c r="D130" s="270"/>
      <c r="E130" s="140"/>
      <c r="F130" s="140"/>
      <c r="G130" s="21">
        <f>SUM(G125:G129)</f>
        <v>0</v>
      </c>
      <c r="H130" s="21">
        <f>SUM(H125:H129)</f>
        <v>0</v>
      </c>
      <c r="I130" s="21">
        <f>SUM(I125:I129)</f>
        <v>0</v>
      </c>
      <c r="J130" s="21">
        <f>G130</f>
        <v>0</v>
      </c>
      <c r="K130" s="34">
        <f>I130</f>
        <v>0</v>
      </c>
      <c r="L130" s="154">
        <f>IF(J130=0,0,(K130-J130)/J130)</f>
        <v>0</v>
      </c>
      <c r="M130" s="122"/>
    </row>
    <row r="131" spans="1:13" s="132" customFormat="1" ht="12" customHeight="1" x14ac:dyDescent="0.3">
      <c r="A131" s="35"/>
      <c r="B131" s="71"/>
      <c r="C131" s="122"/>
      <c r="D131" s="265"/>
      <c r="E131" s="122"/>
      <c r="F131" s="122"/>
      <c r="G131" s="122"/>
      <c r="H131" s="122"/>
      <c r="I131" s="144"/>
      <c r="J131" s="84"/>
      <c r="K131" s="29"/>
      <c r="L131" s="122"/>
      <c r="M131" s="122"/>
    </row>
    <row r="132" spans="1:13" s="132" customFormat="1" ht="41.4" x14ac:dyDescent="0.3">
      <c r="A132" s="246" t="s">
        <v>96</v>
      </c>
      <c r="B132" s="246" t="s">
        <v>80</v>
      </c>
      <c r="C132" s="48" t="s">
        <v>47</v>
      </c>
      <c r="D132" s="135" t="s">
        <v>110</v>
      </c>
      <c r="E132" s="48" t="s">
        <v>98</v>
      </c>
      <c r="F132" s="48" t="s">
        <v>99</v>
      </c>
      <c r="G132" s="48" t="s">
        <v>22</v>
      </c>
      <c r="H132" s="48" t="s">
        <v>23</v>
      </c>
      <c r="I132" s="135" t="s">
        <v>100</v>
      </c>
      <c r="J132" s="145"/>
      <c r="K132" s="48"/>
      <c r="L132" s="124"/>
      <c r="M132" s="124"/>
    </row>
    <row r="133" spans="1:13" s="132" customFormat="1" ht="12" customHeight="1" x14ac:dyDescent="0.3">
      <c r="A133" s="148"/>
      <c r="B133" s="71" t="str">
        <f>IF(A133="","",VLOOKUP(A133,'Database Lab+Equip'!$F:$I,2,FALSE))</f>
        <v/>
      </c>
      <c r="C133" s="139"/>
      <c r="D133" s="271"/>
      <c r="E133" s="140">
        <f>IF(A133="",0,VLOOKUP(A133,'Database Lab+Equip'!$F:$I,3,FALSE))</f>
        <v>0</v>
      </c>
      <c r="F133" s="140">
        <f>IF(A133="",0,VLOOKUP(A133,'Database Lab+Equip'!$F:$I,4,FALSE))</f>
        <v>0</v>
      </c>
      <c r="G133" s="140">
        <f>IF(A133="",0,C133*D133*E133*E$121)</f>
        <v>0</v>
      </c>
      <c r="H133" s="140">
        <f>IF(A133="",0,C133*D133*F133*E$121)</f>
        <v>0</v>
      </c>
      <c r="I133" s="140">
        <f>(H133*$M$122)+H133</f>
        <v>0</v>
      </c>
      <c r="J133" s="84"/>
      <c r="K133" s="29"/>
      <c r="L133" s="122"/>
      <c r="M133" s="84"/>
    </row>
    <row r="134" spans="1:13" s="132" customFormat="1" ht="12" customHeight="1" x14ac:dyDescent="0.3">
      <c r="A134" s="148"/>
      <c r="B134" s="71" t="str">
        <f>IF(A134="","",VLOOKUP(A134,'Database Lab+Equip'!$F:$I,2,FALSE))</f>
        <v/>
      </c>
      <c r="C134" s="142"/>
      <c r="D134" s="272"/>
      <c r="E134" s="140">
        <f>IF(A134="",0,VLOOKUP(A134,'Database Lab+Equip'!$F:$I,3,FALSE))</f>
        <v>0</v>
      </c>
      <c r="F134" s="140">
        <f>IF(A134="",0,VLOOKUP(A134,'Database Lab+Equip'!$F:$I,4,FALSE))</f>
        <v>0</v>
      </c>
      <c r="G134" s="140">
        <f t="shared" ref="G134:G140" si="12">IF(A134="",0,C134*D134*E134*E$121)</f>
        <v>0</v>
      </c>
      <c r="H134" s="140">
        <f t="shared" ref="H134:H140" si="13">IF(A134="",0,C134*D134*F134*E$121)</f>
        <v>0</v>
      </c>
      <c r="I134" s="140">
        <f t="shared" ref="I134:I139" si="14">(H134*$M$122)+H134</f>
        <v>0</v>
      </c>
      <c r="J134" s="122"/>
      <c r="K134" s="29"/>
      <c r="L134" s="122"/>
      <c r="M134" s="122"/>
    </row>
    <row r="135" spans="1:13" s="132" customFormat="1" ht="12" customHeight="1" x14ac:dyDescent="0.3">
      <c r="A135" s="148"/>
      <c r="B135" s="71" t="str">
        <f>IF(A135="","",VLOOKUP(A135,'Database Lab+Equip'!$F:$I,2,FALSE))</f>
        <v/>
      </c>
      <c r="C135" s="142"/>
      <c r="D135" s="272"/>
      <c r="E135" s="140">
        <f>IF(A135="",0,VLOOKUP(A135,'Database Lab+Equip'!$F:$I,3,FALSE))</f>
        <v>0</v>
      </c>
      <c r="F135" s="140">
        <f>IF(A135="",0,VLOOKUP(A135,'Database Lab+Equip'!$F:$I,4,FALSE))</f>
        <v>0</v>
      </c>
      <c r="G135" s="140">
        <f t="shared" si="12"/>
        <v>0</v>
      </c>
      <c r="H135" s="140">
        <f t="shared" si="13"/>
        <v>0</v>
      </c>
      <c r="I135" s="140">
        <f t="shared" si="14"/>
        <v>0</v>
      </c>
      <c r="J135" s="84"/>
      <c r="K135" s="29"/>
      <c r="L135" s="122"/>
      <c r="M135" s="122"/>
    </row>
    <row r="136" spans="1:13" s="132" customFormat="1" ht="12" customHeight="1" x14ac:dyDescent="0.3">
      <c r="A136" s="148"/>
      <c r="B136" s="71" t="str">
        <f>IF(A136="","",VLOOKUP(A136,'Database Lab+Equip'!$F:$I,2,FALSE))</f>
        <v/>
      </c>
      <c r="C136" s="142"/>
      <c r="D136" s="272"/>
      <c r="E136" s="140">
        <f>IF(A136="",0,VLOOKUP(A136,'Database Lab+Equip'!$F:$I,3,FALSE))</f>
        <v>0</v>
      </c>
      <c r="F136" s="140">
        <f>IF(A136="",0,VLOOKUP(A136,'Database Lab+Equip'!$F:$I,4,FALSE))</f>
        <v>0</v>
      </c>
      <c r="G136" s="140">
        <f t="shared" si="12"/>
        <v>0</v>
      </c>
      <c r="H136" s="140">
        <f t="shared" si="13"/>
        <v>0</v>
      </c>
      <c r="I136" s="140">
        <f t="shared" si="14"/>
        <v>0</v>
      </c>
      <c r="J136" s="84"/>
      <c r="K136" s="29"/>
      <c r="L136" s="122"/>
      <c r="M136" s="122"/>
    </row>
    <row r="137" spans="1:13" s="132" customFormat="1" ht="12" customHeight="1" x14ac:dyDescent="0.3">
      <c r="A137" s="148"/>
      <c r="B137" s="71" t="str">
        <f>IF(A137="","",VLOOKUP(A137,'Database Lab+Equip'!$F:$I,2,FALSE))</f>
        <v/>
      </c>
      <c r="C137" s="142"/>
      <c r="D137" s="272"/>
      <c r="E137" s="140">
        <f>IF(A137="",0,VLOOKUP(A137,'Database Lab+Equip'!$F:$I,3,FALSE))</f>
        <v>0</v>
      </c>
      <c r="F137" s="140">
        <f>IF(A137="",0,VLOOKUP(A137,'Database Lab+Equip'!$F:$I,4,FALSE))</f>
        <v>0</v>
      </c>
      <c r="G137" s="140">
        <f t="shared" si="12"/>
        <v>0</v>
      </c>
      <c r="H137" s="140">
        <f t="shared" si="13"/>
        <v>0</v>
      </c>
      <c r="I137" s="140">
        <f t="shared" si="14"/>
        <v>0</v>
      </c>
      <c r="J137" s="84"/>
      <c r="K137" s="29"/>
      <c r="L137" s="122"/>
      <c r="M137" s="122"/>
    </row>
    <row r="138" spans="1:13" s="132" customFormat="1" ht="12" customHeight="1" x14ac:dyDescent="0.3">
      <c r="A138" s="148"/>
      <c r="B138" s="71" t="str">
        <f>IF(A138="","",VLOOKUP(A138,'Database Lab+Equip'!$F:$I,2,FALSE))</f>
        <v/>
      </c>
      <c r="C138" s="142"/>
      <c r="D138" s="272"/>
      <c r="E138" s="140">
        <f>IF(A138="",0,VLOOKUP(A138,'Database Lab+Equip'!$F:$I,3,FALSE))</f>
        <v>0</v>
      </c>
      <c r="F138" s="140">
        <f>IF(A138="",0,VLOOKUP(A138,'Database Lab+Equip'!$F:$I,4,FALSE))</f>
        <v>0</v>
      </c>
      <c r="G138" s="140">
        <f t="shared" si="12"/>
        <v>0</v>
      </c>
      <c r="H138" s="140">
        <f t="shared" si="13"/>
        <v>0</v>
      </c>
      <c r="I138" s="140">
        <f t="shared" si="14"/>
        <v>0</v>
      </c>
      <c r="J138" s="84"/>
      <c r="K138" s="29"/>
      <c r="L138" s="122"/>
      <c r="M138" s="122"/>
    </row>
    <row r="139" spans="1:13" s="132" customFormat="1" ht="12" customHeight="1" x14ac:dyDescent="0.3">
      <c r="A139" s="148"/>
      <c r="B139" s="71" t="str">
        <f>IF(A139="","",VLOOKUP(A139,'Database Lab+Equip'!$F:$I,2,FALSE))</f>
        <v/>
      </c>
      <c r="C139" s="142"/>
      <c r="D139" s="272"/>
      <c r="E139" s="140">
        <f>IF(A139="",0,VLOOKUP(A139,'Database Lab+Equip'!$F:$I,3,FALSE))</f>
        <v>0</v>
      </c>
      <c r="F139" s="140">
        <f>IF(A139="",0,VLOOKUP(A139,'Database Lab+Equip'!$F:$I,4,FALSE))</f>
        <v>0</v>
      </c>
      <c r="G139" s="140">
        <f t="shared" si="12"/>
        <v>0</v>
      </c>
      <c r="H139" s="140">
        <f t="shared" si="13"/>
        <v>0</v>
      </c>
      <c r="I139" s="140">
        <f t="shared" si="14"/>
        <v>0</v>
      </c>
      <c r="J139" s="84"/>
      <c r="K139" s="29"/>
      <c r="L139" s="122"/>
      <c r="M139" s="122"/>
    </row>
    <row r="140" spans="1:13" s="132" customFormat="1" ht="12" customHeight="1" x14ac:dyDescent="0.3">
      <c r="A140" s="148"/>
      <c r="B140" s="71" t="str">
        <f>IF(A140="","",VLOOKUP(A140,'Database Lab+Equip'!$F:$I,2,FALSE))</f>
        <v/>
      </c>
      <c r="C140" s="150"/>
      <c r="D140" s="273"/>
      <c r="E140" s="140">
        <f>IF(A140="",0,VLOOKUP(A140,'Database Lab+Equip'!$F:$I,3,FALSE))</f>
        <v>0</v>
      </c>
      <c r="F140" s="140">
        <f>IF(A140="",0,VLOOKUP(A140,'Database Lab+Equip'!$F:$I,4,FALSE))</f>
        <v>0</v>
      </c>
      <c r="G140" s="140">
        <f t="shared" si="12"/>
        <v>0</v>
      </c>
      <c r="H140" s="140">
        <f t="shared" si="13"/>
        <v>0</v>
      </c>
      <c r="I140" s="140">
        <f>(H140*$M$122)+H140</f>
        <v>0</v>
      </c>
      <c r="J140" s="152" t="s">
        <v>108</v>
      </c>
      <c r="K140" s="153" t="s">
        <v>109</v>
      </c>
      <c r="L140" s="31"/>
      <c r="M140" s="125">
        <f>SUM(I133:I140)-SUM(G133:G140)</f>
        <v>0</v>
      </c>
    </row>
    <row r="141" spans="1:13" s="132" customFormat="1" ht="12" customHeight="1" x14ac:dyDescent="0.3">
      <c r="A141" s="72"/>
      <c r="B141" s="143"/>
      <c r="C141" s="130"/>
      <c r="D141" s="265"/>
      <c r="E141" s="122"/>
      <c r="F141" s="122"/>
      <c r="G141" s="21">
        <f>SUM(G133:G140)</f>
        <v>0</v>
      </c>
      <c r="H141" s="21">
        <f>SUM(H133:H140)</f>
        <v>0</v>
      </c>
      <c r="I141" s="21">
        <f>SUM(I133:I140)</f>
        <v>0</v>
      </c>
      <c r="J141" s="21">
        <f>G141</f>
        <v>0</v>
      </c>
      <c r="K141" s="34">
        <f>I141</f>
        <v>0</v>
      </c>
      <c r="L141" s="154">
        <f>IF(J141=0,0,(K141-J141)/J141)</f>
        <v>0</v>
      </c>
      <c r="M141" s="187">
        <f>M129+M140</f>
        <v>0</v>
      </c>
    </row>
    <row r="142" spans="1:13" s="31" customFormat="1" ht="13.8" x14ac:dyDescent="0.3">
      <c r="A142" s="110"/>
      <c r="B142" s="115"/>
      <c r="C142" s="116"/>
      <c r="D142" s="274"/>
      <c r="E142" s="117"/>
      <c r="F142" s="117"/>
      <c r="G142" s="118"/>
      <c r="H142" s="110"/>
      <c r="I142" s="161"/>
      <c r="J142" s="162">
        <f>J130+J141</f>
        <v>0</v>
      </c>
      <c r="K142" s="162">
        <f>K130+K141</f>
        <v>0</v>
      </c>
      <c r="L142" s="119">
        <f>IF(J142=0,0,(K142-J142)/K142)</f>
        <v>0</v>
      </c>
      <c r="M142" s="173"/>
    </row>
    <row r="143" spans="1:13" s="31" customFormat="1" ht="13.8" x14ac:dyDescent="0.3">
      <c r="A143" s="112"/>
      <c r="B143" s="223"/>
      <c r="C143" s="214"/>
      <c r="D143" s="275"/>
      <c r="E143" s="215"/>
      <c r="F143" s="215"/>
      <c r="G143" s="216"/>
      <c r="H143" s="112"/>
      <c r="I143" s="217"/>
      <c r="J143" s="218"/>
      <c r="K143" s="218"/>
      <c r="L143" s="224"/>
      <c r="M143" s="213"/>
    </row>
    <row r="144" spans="1:13" ht="15.6" x14ac:dyDescent="0.3">
      <c r="B144" s="241" t="s">
        <v>170</v>
      </c>
      <c r="C144" s="42"/>
      <c r="D144" s="42"/>
      <c r="E144" s="42"/>
      <c r="F144" s="129"/>
      <c r="H144" s="132"/>
      <c r="I144" s="132"/>
      <c r="L144" s="221" t="s">
        <v>85</v>
      </c>
      <c r="M144" s="222"/>
    </row>
    <row r="145" spans="1:13" s="132" customFormat="1" ht="12" customHeight="1" x14ac:dyDescent="0.3">
      <c r="A145" s="72"/>
      <c r="B145" s="24" t="s">
        <v>135</v>
      </c>
      <c r="C145" s="22"/>
      <c r="D145" s="266" t="s">
        <v>87</v>
      </c>
      <c r="E145" s="23"/>
      <c r="F145" s="133"/>
      <c r="H145" s="14"/>
      <c r="I145" s="14"/>
      <c r="J145" s="14"/>
      <c r="K145" s="14"/>
      <c r="L145" s="219" t="s">
        <v>88</v>
      </c>
      <c r="M145" s="220"/>
    </row>
    <row r="146" spans="1:13" s="132" customFormat="1" ht="12" customHeight="1" x14ac:dyDescent="0.3">
      <c r="A146" s="72"/>
      <c r="B146" s="24" t="s">
        <v>141</v>
      </c>
      <c r="C146" s="25"/>
      <c r="D146" s="266" t="s">
        <v>89</v>
      </c>
      <c r="E146" s="23"/>
      <c r="K146" s="14"/>
      <c r="L146" s="126" t="s">
        <v>90</v>
      </c>
      <c r="M146" s="127"/>
    </row>
    <row r="147" spans="1:13" s="132" customFormat="1" ht="12" customHeight="1" x14ac:dyDescent="0.3">
      <c r="A147" s="72"/>
      <c r="B147" s="24" t="s">
        <v>142</v>
      </c>
      <c r="C147" s="27" t="str">
        <f>IF(C145="","",C145/E147+C146)</f>
        <v/>
      </c>
      <c r="D147" s="266" t="s">
        <v>91</v>
      </c>
      <c r="E147" s="23"/>
      <c r="I147" s="26"/>
      <c r="J147" s="26"/>
      <c r="K147" s="14"/>
      <c r="L147" s="126" t="s">
        <v>92</v>
      </c>
      <c r="M147" s="127"/>
    </row>
    <row r="148" spans="1:13" s="132" customFormat="1" ht="12" customHeight="1" x14ac:dyDescent="0.3">
      <c r="A148" s="72"/>
      <c r="B148" s="59" t="s">
        <v>143</v>
      </c>
      <c r="C148" s="260"/>
      <c r="D148" s="266" t="s">
        <v>25</v>
      </c>
      <c r="E148" s="128">
        <f>SUM(C153:C157)</f>
        <v>0</v>
      </c>
      <c r="I148" s="26"/>
      <c r="J148" s="26"/>
      <c r="K148" s="14"/>
      <c r="L148" s="93" t="s">
        <v>94</v>
      </c>
      <c r="M148" s="94"/>
    </row>
    <row r="149" spans="1:13" s="132" customFormat="1" ht="12" customHeight="1" x14ac:dyDescent="0.3">
      <c r="A149" s="72"/>
      <c r="B149" s="59" t="s">
        <v>144</v>
      </c>
      <c r="C149" s="25"/>
      <c r="D149" s="266" t="s">
        <v>44</v>
      </c>
      <c r="E149" s="244">
        <f>IF(E148=0,0,(C147/C148)/C149)</f>
        <v>0</v>
      </c>
      <c r="I149" s="26"/>
      <c r="J149" s="26"/>
      <c r="K149" s="14"/>
      <c r="L149" s="57" t="s">
        <v>70</v>
      </c>
      <c r="M149" s="58">
        <f>$M$9</f>
        <v>0.05</v>
      </c>
    </row>
    <row r="150" spans="1:13" s="132" customFormat="1" ht="12" customHeight="1" x14ac:dyDescent="0.3">
      <c r="A150" s="72"/>
      <c r="B150" s="28"/>
      <c r="C150" s="122"/>
      <c r="D150" s="267"/>
      <c r="E150" s="211"/>
      <c r="I150" s="26"/>
      <c r="J150" s="26"/>
      <c r="K150" s="14"/>
      <c r="L150" s="57" t="s">
        <v>80</v>
      </c>
      <c r="M150" s="58">
        <f>$M$10</f>
        <v>0.05</v>
      </c>
    </row>
    <row r="151" spans="1:13" s="132" customFormat="1" ht="12" customHeight="1" x14ac:dyDescent="0.3">
      <c r="A151" s="72"/>
      <c r="B151" s="28"/>
      <c r="C151" s="28"/>
      <c r="D151" s="43"/>
      <c r="H151" s="29"/>
      <c r="I151" s="29"/>
      <c r="J151" s="29"/>
      <c r="K151" s="29"/>
      <c r="M151" s="71"/>
    </row>
    <row r="152" spans="1:13" s="132" customFormat="1" ht="27.6" x14ac:dyDescent="0.3">
      <c r="A152" s="246" t="s">
        <v>145</v>
      </c>
      <c r="B152" s="246" t="s">
        <v>70</v>
      </c>
      <c r="C152" s="48" t="s">
        <v>47</v>
      </c>
      <c r="D152" s="135" t="s">
        <v>97</v>
      </c>
      <c r="E152" s="48" t="s">
        <v>98</v>
      </c>
      <c r="F152" s="48" t="s">
        <v>99</v>
      </c>
      <c r="G152" s="48" t="s">
        <v>22</v>
      </c>
      <c r="H152" s="48" t="s">
        <v>23</v>
      </c>
      <c r="I152" s="135" t="s">
        <v>100</v>
      </c>
      <c r="J152" s="136"/>
      <c r="K152" s="52"/>
      <c r="L152" s="48" t="s">
        <v>101</v>
      </c>
      <c r="M152" s="48" t="s">
        <v>0</v>
      </c>
    </row>
    <row r="153" spans="1:13" s="132" customFormat="1" ht="12" customHeight="1" x14ac:dyDescent="0.3">
      <c r="A153" s="137"/>
      <c r="B153" s="71" t="str">
        <f>IF(A153="","",VLOOKUP(A153,'Database Lab+Equip'!$A:$D,2,FALSE))</f>
        <v/>
      </c>
      <c r="C153" s="139"/>
      <c r="D153" s="268"/>
      <c r="E153" s="140">
        <f>IF(A153="",0,VLOOKUP(A153,'Database Lab+Equip'!$A:$D,3,FALSE))</f>
        <v>0</v>
      </c>
      <c r="F153" s="140">
        <f>IF(A153="",0,VLOOKUP(A153,'Database Lab+Equip'!$A:$D,4,FALSE))</f>
        <v>0</v>
      </c>
      <c r="G153" s="140">
        <f>IF(A153="",0,C153*D153*E153*E$149)</f>
        <v>0</v>
      </c>
      <c r="H153" s="140">
        <f>IF(A153="",0,C153*D153*F153*E$149)</f>
        <v>0</v>
      </c>
      <c r="I153" s="140">
        <f>(H153*$M$149)+H153</f>
        <v>0</v>
      </c>
      <c r="J153" s="154"/>
      <c r="K153" s="26"/>
      <c r="M153" s="84"/>
    </row>
    <row r="154" spans="1:13" s="132" customFormat="1" ht="12" customHeight="1" x14ac:dyDescent="0.3">
      <c r="A154" s="137"/>
      <c r="B154" s="71" t="str">
        <f>IF(A154="","",VLOOKUP(A154,'Database Lab+Equip'!$A:$D,2,FALSE))</f>
        <v/>
      </c>
      <c r="C154" s="142"/>
      <c r="D154" s="269"/>
      <c r="E154" s="140">
        <f>IF(A154="",0,VLOOKUP(A154,'Database Lab+Equip'!$A:$D,3,FALSE))</f>
        <v>0</v>
      </c>
      <c r="F154" s="140">
        <f>IF(A154="",0,VLOOKUP(A154,'Database Lab+Equip'!$A:$D,4,FALSE))</f>
        <v>0</v>
      </c>
      <c r="G154" s="140">
        <f>IF(A154="",0,C154*D154*E154*E$149)</f>
        <v>0</v>
      </c>
      <c r="H154" s="140">
        <f>IF(A154="",0,C154*D154*F154*E$149)</f>
        <v>0</v>
      </c>
      <c r="I154" s="140">
        <f>(H154*$M$149)+H154</f>
        <v>0</v>
      </c>
      <c r="J154" s="154"/>
      <c r="K154" s="26"/>
      <c r="M154" s="122"/>
    </row>
    <row r="155" spans="1:13" s="132" customFormat="1" ht="12" customHeight="1" x14ac:dyDescent="0.3">
      <c r="A155" s="137"/>
      <c r="B155" s="71" t="str">
        <f>IF(A155="","",VLOOKUP(A155,'Database Lab+Equip'!$A:$D,2,FALSE))</f>
        <v/>
      </c>
      <c r="C155" s="142"/>
      <c r="D155" s="269"/>
      <c r="E155" s="140">
        <f>IF(A155="",0,VLOOKUP(A155,'Database Lab+Equip'!$A:$D,3,FALSE))</f>
        <v>0</v>
      </c>
      <c r="F155" s="140">
        <f>IF(A155="",0,VLOOKUP(A155,'Database Lab+Equip'!$A:$D,4,FALSE))</f>
        <v>0</v>
      </c>
      <c r="G155" s="140">
        <f>IF(A155="",0,C155*D155*E155*E$149)</f>
        <v>0</v>
      </c>
      <c r="H155" s="140">
        <f>IF(A155="",0,C155*D155*F155*E$149)</f>
        <v>0</v>
      </c>
      <c r="I155" s="140">
        <f>(H155*$M$149)+H155</f>
        <v>0</v>
      </c>
      <c r="J155" s="154"/>
      <c r="K155" s="26"/>
      <c r="M155" s="122"/>
    </row>
    <row r="156" spans="1:13" s="132" customFormat="1" ht="12" customHeight="1" x14ac:dyDescent="0.3">
      <c r="A156" s="137"/>
      <c r="B156" s="71" t="str">
        <f>IF(A156="","",VLOOKUP(A156,'Database Lab+Equip'!$A:$D,2,FALSE))</f>
        <v/>
      </c>
      <c r="C156" s="142"/>
      <c r="D156" s="269"/>
      <c r="E156" s="140">
        <f>IF(A156="",0,VLOOKUP(A156,'Database Lab+Equip'!$A:$D,3,FALSE))</f>
        <v>0</v>
      </c>
      <c r="F156" s="140">
        <f>IF(A156="",0,VLOOKUP(A156,'Database Lab+Equip'!$A:$D,4,FALSE))</f>
        <v>0</v>
      </c>
      <c r="G156" s="140">
        <f>IF(A156="",0,C156*D156*E156*E$149)</f>
        <v>0</v>
      </c>
      <c r="H156" s="140">
        <f>IF(A156="",0,C156*D156*F156*E$149)</f>
        <v>0</v>
      </c>
      <c r="I156" s="140">
        <f>(H156*$M$149)+H156</f>
        <v>0</v>
      </c>
      <c r="J156" s="154"/>
      <c r="K156" s="26"/>
      <c r="M156" s="122"/>
    </row>
    <row r="157" spans="1:13" s="132" customFormat="1" ht="12" customHeight="1" x14ac:dyDescent="0.3">
      <c r="A157" s="137"/>
      <c r="B157" s="71" t="str">
        <f>IF(A157="","",VLOOKUP(A157,'Database Lab+Equip'!$A:$D,2,FALSE))</f>
        <v/>
      </c>
      <c r="C157" s="142"/>
      <c r="D157" s="269"/>
      <c r="E157" s="140">
        <f>IF(A157="",0,VLOOKUP(A157,'Database Lab+Equip'!$A:$D,3,FALSE))</f>
        <v>0</v>
      </c>
      <c r="F157" s="140">
        <f>IF(A157="",0,VLOOKUP(A157,'Database Lab+Equip'!$A:$D,4,FALSE))</f>
        <v>0</v>
      </c>
      <c r="G157" s="140">
        <f>IF(A157="",0,C157*D157*E157*E$149)</f>
        <v>0</v>
      </c>
      <c r="H157" s="140">
        <f>IF(A157="",0,C157*D157*F157*E$149)</f>
        <v>0</v>
      </c>
      <c r="I157" s="140">
        <f>(H157*$M$149)+H157</f>
        <v>0</v>
      </c>
      <c r="J157" s="152" t="s">
        <v>108</v>
      </c>
      <c r="K157" s="153" t="s">
        <v>109</v>
      </c>
      <c r="L157" s="31"/>
      <c r="M157" s="123">
        <f>SUM(I153:I157)-SUM(G153:G157)</f>
        <v>0</v>
      </c>
    </row>
    <row r="158" spans="1:13" s="132" customFormat="1" ht="12" customHeight="1" x14ac:dyDescent="0.3">
      <c r="A158" s="35"/>
      <c r="C158" s="140"/>
      <c r="D158" s="270"/>
      <c r="E158" s="140"/>
      <c r="F158" s="140"/>
      <c r="G158" s="21">
        <f>SUM(G153:G157)</f>
        <v>0</v>
      </c>
      <c r="H158" s="21">
        <f>SUM(H153:H157)</f>
        <v>0</v>
      </c>
      <c r="I158" s="21">
        <f>SUM(I153:I157)</f>
        <v>0</v>
      </c>
      <c r="J158" s="21">
        <f>G158</f>
        <v>0</v>
      </c>
      <c r="K158" s="34">
        <f>I158</f>
        <v>0</v>
      </c>
      <c r="L158" s="154">
        <f>IF(J158=0,0,(K158-J158)/J158)</f>
        <v>0</v>
      </c>
      <c r="M158" s="122"/>
    </row>
    <row r="159" spans="1:13" s="132" customFormat="1" ht="12" customHeight="1" x14ac:dyDescent="0.3">
      <c r="A159" s="35"/>
      <c r="B159" s="71"/>
      <c r="C159" s="122"/>
      <c r="D159" s="265"/>
      <c r="E159" s="122"/>
      <c r="F159" s="122"/>
      <c r="G159" s="122"/>
      <c r="H159" s="122"/>
      <c r="I159" s="144"/>
      <c r="J159" s="84"/>
      <c r="K159" s="29"/>
      <c r="L159" s="122"/>
      <c r="M159" s="122"/>
    </row>
    <row r="160" spans="1:13" s="132" customFormat="1" ht="41.4" x14ac:dyDescent="0.3">
      <c r="A160" s="246" t="s">
        <v>96</v>
      </c>
      <c r="B160" s="246" t="s">
        <v>80</v>
      </c>
      <c r="C160" s="48" t="s">
        <v>47</v>
      </c>
      <c r="D160" s="135" t="s">
        <v>110</v>
      </c>
      <c r="E160" s="48" t="s">
        <v>98</v>
      </c>
      <c r="F160" s="48" t="s">
        <v>99</v>
      </c>
      <c r="G160" s="48" t="s">
        <v>22</v>
      </c>
      <c r="H160" s="48" t="s">
        <v>23</v>
      </c>
      <c r="I160" s="135" t="s">
        <v>100</v>
      </c>
      <c r="J160" s="145"/>
      <c r="K160" s="48"/>
      <c r="L160" s="124"/>
      <c r="M160" s="124"/>
    </row>
    <row r="161" spans="1:13" s="132" customFormat="1" ht="12" customHeight="1" x14ac:dyDescent="0.3">
      <c r="A161" s="148"/>
      <c r="B161" s="71" t="str">
        <f>IF(A161="","",VLOOKUP(A161,'Database Lab+Equip'!$F:$I,2,FALSE))</f>
        <v/>
      </c>
      <c r="C161" s="139"/>
      <c r="D161" s="271"/>
      <c r="E161" s="140">
        <f>IF(A161="",0,VLOOKUP(A161,'Database Lab+Equip'!$F:$I,3,FALSE))</f>
        <v>0</v>
      </c>
      <c r="F161" s="140">
        <f>IF(A161="",0,VLOOKUP(A161,'Database Lab+Equip'!$F:$I,4,FALSE))</f>
        <v>0</v>
      </c>
      <c r="G161" s="140">
        <f>IF(A161="",0,C161*D161*E161*E$149)</f>
        <v>0</v>
      </c>
      <c r="H161" s="140">
        <f>IF(A161="",0,C161*D161*F161*E$149)</f>
        <v>0</v>
      </c>
      <c r="I161" s="140">
        <f>(H161*$M$150)+H161</f>
        <v>0</v>
      </c>
      <c r="J161" s="84"/>
      <c r="K161" s="29"/>
      <c r="L161" s="122"/>
      <c r="M161" s="84"/>
    </row>
    <row r="162" spans="1:13" s="132" customFormat="1" ht="12" customHeight="1" x14ac:dyDescent="0.3">
      <c r="A162" s="148"/>
      <c r="B162" s="71" t="str">
        <f>IF(A162="","",VLOOKUP(A162,'Database Lab+Equip'!$F:$I,2,FALSE))</f>
        <v/>
      </c>
      <c r="C162" s="142"/>
      <c r="D162" s="272"/>
      <c r="E162" s="140">
        <f>IF(A162="",0,VLOOKUP(A162,'Database Lab+Equip'!$F:$I,3,FALSE))</f>
        <v>0</v>
      </c>
      <c r="F162" s="140">
        <f>IF(A162="",0,VLOOKUP(A162,'Database Lab+Equip'!$F:$I,4,FALSE))</f>
        <v>0</v>
      </c>
      <c r="G162" s="140">
        <f t="shared" ref="G162:G168" si="15">IF(A162="",0,C162*D162*E162*E$149)</f>
        <v>0</v>
      </c>
      <c r="H162" s="140">
        <f t="shared" ref="H162:H168" si="16">IF(A162="",0,C162*D162*F162*E$149)</f>
        <v>0</v>
      </c>
      <c r="I162" s="140">
        <f t="shared" ref="I162:I168" si="17">(H162*$M$150)+H162</f>
        <v>0</v>
      </c>
      <c r="J162" s="122"/>
      <c r="K162" s="29"/>
      <c r="L162" s="122"/>
      <c r="M162" s="122"/>
    </row>
    <row r="163" spans="1:13" s="132" customFormat="1" ht="12" customHeight="1" x14ac:dyDescent="0.3">
      <c r="A163" s="148"/>
      <c r="B163" s="71" t="str">
        <f>IF(A163="","",VLOOKUP(A163,'Database Lab+Equip'!$F:$I,2,FALSE))</f>
        <v/>
      </c>
      <c r="C163" s="142"/>
      <c r="D163" s="272"/>
      <c r="E163" s="140">
        <f>IF(A163="",0,VLOOKUP(A163,'Database Lab+Equip'!$F:$I,3,FALSE))</f>
        <v>0</v>
      </c>
      <c r="F163" s="140">
        <f>IF(A163="",0,VLOOKUP(A163,'Database Lab+Equip'!$F:$I,4,FALSE))</f>
        <v>0</v>
      </c>
      <c r="G163" s="140">
        <f t="shared" si="15"/>
        <v>0</v>
      </c>
      <c r="H163" s="140">
        <f t="shared" si="16"/>
        <v>0</v>
      </c>
      <c r="I163" s="140">
        <f t="shared" si="17"/>
        <v>0</v>
      </c>
      <c r="J163" s="84"/>
      <c r="K163" s="29"/>
      <c r="L163" s="122"/>
      <c r="M163" s="122"/>
    </row>
    <row r="164" spans="1:13" s="132" customFormat="1" ht="12" customHeight="1" x14ac:dyDescent="0.3">
      <c r="A164" s="148"/>
      <c r="B164" s="71" t="str">
        <f>IF(A164="","",VLOOKUP(A164,'Database Lab+Equip'!$F:$I,2,FALSE))</f>
        <v/>
      </c>
      <c r="C164" s="142"/>
      <c r="D164" s="272"/>
      <c r="E164" s="140">
        <f>IF(A164="",0,VLOOKUP(A164,'Database Lab+Equip'!$F:$I,3,FALSE))</f>
        <v>0</v>
      </c>
      <c r="F164" s="140">
        <f>IF(A164="",0,VLOOKUP(A164,'Database Lab+Equip'!$F:$I,4,FALSE))</f>
        <v>0</v>
      </c>
      <c r="G164" s="140">
        <f t="shared" si="15"/>
        <v>0</v>
      </c>
      <c r="H164" s="140">
        <f t="shared" si="16"/>
        <v>0</v>
      </c>
      <c r="I164" s="140">
        <f t="shared" si="17"/>
        <v>0</v>
      </c>
      <c r="J164" s="84"/>
      <c r="K164" s="29"/>
      <c r="L164" s="122"/>
      <c r="M164" s="122"/>
    </row>
    <row r="165" spans="1:13" s="132" customFormat="1" ht="12" customHeight="1" x14ac:dyDescent="0.3">
      <c r="A165" s="148"/>
      <c r="B165" s="71" t="str">
        <f>IF(A165="","",VLOOKUP(A165,'Database Lab+Equip'!$F:$I,2,FALSE))</f>
        <v/>
      </c>
      <c r="C165" s="142"/>
      <c r="D165" s="272"/>
      <c r="E165" s="140">
        <f>IF(A165="",0,VLOOKUP(A165,'Database Lab+Equip'!$F:$I,3,FALSE))</f>
        <v>0</v>
      </c>
      <c r="F165" s="140">
        <f>IF(A165="",0,VLOOKUP(A165,'Database Lab+Equip'!$F:$I,4,FALSE))</f>
        <v>0</v>
      </c>
      <c r="G165" s="140">
        <f t="shared" si="15"/>
        <v>0</v>
      </c>
      <c r="H165" s="140">
        <f t="shared" si="16"/>
        <v>0</v>
      </c>
      <c r="I165" s="140">
        <f t="shared" si="17"/>
        <v>0</v>
      </c>
      <c r="J165" s="84"/>
      <c r="K165" s="29"/>
      <c r="L165" s="122"/>
      <c r="M165" s="122"/>
    </row>
    <row r="166" spans="1:13" s="132" customFormat="1" ht="12" customHeight="1" x14ac:dyDescent="0.3">
      <c r="A166" s="148"/>
      <c r="B166" s="71" t="str">
        <f>IF(A166="","",VLOOKUP(A166,'Database Lab+Equip'!$F:$I,2,FALSE))</f>
        <v/>
      </c>
      <c r="C166" s="142"/>
      <c r="D166" s="272"/>
      <c r="E166" s="140">
        <f>IF(A166="",0,VLOOKUP(A166,'Database Lab+Equip'!$F:$I,3,FALSE))</f>
        <v>0</v>
      </c>
      <c r="F166" s="140">
        <f>IF(A166="",0,VLOOKUP(A166,'Database Lab+Equip'!$F:$I,4,FALSE))</f>
        <v>0</v>
      </c>
      <c r="G166" s="140">
        <f t="shared" si="15"/>
        <v>0</v>
      </c>
      <c r="H166" s="140">
        <f t="shared" si="16"/>
        <v>0</v>
      </c>
      <c r="I166" s="140">
        <f t="shared" si="17"/>
        <v>0</v>
      </c>
      <c r="J166" s="84"/>
      <c r="K166" s="29"/>
      <c r="L166" s="122"/>
      <c r="M166" s="122"/>
    </row>
    <row r="167" spans="1:13" s="132" customFormat="1" ht="12" customHeight="1" x14ac:dyDescent="0.3">
      <c r="A167" s="148"/>
      <c r="B167" s="71" t="str">
        <f>IF(A167="","",VLOOKUP(A167,'Database Lab+Equip'!$F:$I,2,FALSE))</f>
        <v/>
      </c>
      <c r="C167" s="142"/>
      <c r="D167" s="272"/>
      <c r="E167" s="140">
        <f>IF(A167="",0,VLOOKUP(A167,'Database Lab+Equip'!$F:$I,3,FALSE))</f>
        <v>0</v>
      </c>
      <c r="F167" s="140">
        <f>IF(A167="",0,VLOOKUP(A167,'Database Lab+Equip'!$F:$I,4,FALSE))</f>
        <v>0</v>
      </c>
      <c r="G167" s="140">
        <f t="shared" si="15"/>
        <v>0</v>
      </c>
      <c r="H167" s="140">
        <f t="shared" si="16"/>
        <v>0</v>
      </c>
      <c r="I167" s="140">
        <f t="shared" si="17"/>
        <v>0</v>
      </c>
      <c r="J167" s="84"/>
      <c r="K167" s="29"/>
      <c r="L167" s="122"/>
      <c r="M167" s="122"/>
    </row>
    <row r="168" spans="1:13" s="132" customFormat="1" ht="12" customHeight="1" x14ac:dyDescent="0.3">
      <c r="A168" s="148"/>
      <c r="B168" s="71" t="str">
        <f>IF(A168="","",VLOOKUP(A168,'Database Lab+Equip'!$F:$I,2,FALSE))</f>
        <v/>
      </c>
      <c r="C168" s="150"/>
      <c r="D168" s="273"/>
      <c r="E168" s="140">
        <f>IF(A168="",0,VLOOKUP(A168,'Database Lab+Equip'!$F:$I,3,FALSE))</f>
        <v>0</v>
      </c>
      <c r="F168" s="140">
        <f>IF(A168="",0,VLOOKUP(A168,'Database Lab+Equip'!$F:$I,4,FALSE))</f>
        <v>0</v>
      </c>
      <c r="G168" s="140">
        <f t="shared" si="15"/>
        <v>0</v>
      </c>
      <c r="H168" s="140">
        <f t="shared" si="16"/>
        <v>0</v>
      </c>
      <c r="I168" s="140">
        <f t="shared" si="17"/>
        <v>0</v>
      </c>
      <c r="J168" s="152" t="s">
        <v>108</v>
      </c>
      <c r="K168" s="153" t="s">
        <v>109</v>
      </c>
      <c r="L168" s="31"/>
      <c r="M168" s="125">
        <f>SUM(I161:I168)-SUM(G161:G168)</f>
        <v>0</v>
      </c>
    </row>
    <row r="169" spans="1:13" s="132" customFormat="1" ht="12" customHeight="1" x14ac:dyDescent="0.3">
      <c r="A169" s="72"/>
      <c r="B169" s="143"/>
      <c r="C169" s="130"/>
      <c r="D169" s="265"/>
      <c r="E169" s="122"/>
      <c r="F169" s="122"/>
      <c r="G169" s="21">
        <f>SUM(G161:G168)</f>
        <v>0</v>
      </c>
      <c r="H169" s="21">
        <f>SUM(H161:H168)</f>
        <v>0</v>
      </c>
      <c r="I169" s="21">
        <f>SUM(I161:I168)</f>
        <v>0</v>
      </c>
      <c r="J169" s="21">
        <f>G169</f>
        <v>0</v>
      </c>
      <c r="K169" s="34">
        <f>I169</f>
        <v>0</v>
      </c>
      <c r="L169" s="154">
        <f>IF(J169=0,0,(K169-J169)/J169)</f>
        <v>0</v>
      </c>
      <c r="M169" s="187">
        <f>M157+M168</f>
        <v>0</v>
      </c>
    </row>
    <row r="170" spans="1:13" s="31" customFormat="1" ht="13.8" x14ac:dyDescent="0.3">
      <c r="A170" s="110"/>
      <c r="B170" s="115"/>
      <c r="C170" s="116"/>
      <c r="D170" s="274"/>
      <c r="E170" s="117"/>
      <c r="F170" s="117"/>
      <c r="G170" s="118"/>
      <c r="H170" s="110"/>
      <c r="I170" s="161"/>
      <c r="J170" s="162">
        <f>J158+J169</f>
        <v>0</v>
      </c>
      <c r="K170" s="162">
        <f>K158+K169</f>
        <v>0</v>
      </c>
      <c r="L170" s="119">
        <f>IF(J170=0,0,(K170-J170)/K170)</f>
        <v>0</v>
      </c>
      <c r="M170" s="173"/>
    </row>
    <row r="171" spans="1:13" s="31" customFormat="1" ht="13.8" x14ac:dyDescent="0.3">
      <c r="A171" s="112"/>
      <c r="B171" s="223"/>
      <c r="C171" s="214"/>
      <c r="D171" s="275"/>
      <c r="E171" s="215"/>
      <c r="F171" s="215"/>
      <c r="G171" s="216"/>
      <c r="H171" s="112"/>
      <c r="I171" s="217"/>
      <c r="J171" s="218"/>
      <c r="K171" s="218"/>
      <c r="L171" s="224"/>
      <c r="M171" s="213"/>
    </row>
    <row r="172" spans="1:13" ht="15.6" x14ac:dyDescent="0.3">
      <c r="B172" s="241" t="s">
        <v>171</v>
      </c>
      <c r="C172" s="42"/>
      <c r="D172" s="42"/>
      <c r="E172" s="42"/>
      <c r="F172" s="129"/>
      <c r="H172" s="132"/>
      <c r="I172" s="132"/>
      <c r="L172" s="221" t="s">
        <v>85</v>
      </c>
      <c r="M172" s="222"/>
    </row>
    <row r="173" spans="1:13" s="132" customFormat="1" ht="12" customHeight="1" x14ac:dyDescent="0.3">
      <c r="A173" s="72"/>
      <c r="B173" s="24" t="s">
        <v>135</v>
      </c>
      <c r="C173" s="22"/>
      <c r="D173" s="266" t="s">
        <v>87</v>
      </c>
      <c r="E173" s="23"/>
      <c r="F173" s="133"/>
      <c r="H173" s="14"/>
      <c r="I173" s="14"/>
      <c r="J173" s="14"/>
      <c r="K173" s="14"/>
      <c r="L173" s="219" t="s">
        <v>88</v>
      </c>
      <c r="M173" s="220"/>
    </row>
    <row r="174" spans="1:13" s="132" customFormat="1" ht="12" customHeight="1" x14ac:dyDescent="0.3">
      <c r="A174" s="72"/>
      <c r="B174" s="24" t="s">
        <v>141</v>
      </c>
      <c r="C174" s="25"/>
      <c r="D174" s="266" t="s">
        <v>89</v>
      </c>
      <c r="E174" s="23"/>
      <c r="K174" s="14"/>
      <c r="L174" s="126" t="s">
        <v>90</v>
      </c>
      <c r="M174" s="127"/>
    </row>
    <row r="175" spans="1:13" s="132" customFormat="1" ht="12" customHeight="1" x14ac:dyDescent="0.3">
      <c r="A175" s="72"/>
      <c r="B175" s="24" t="s">
        <v>142</v>
      </c>
      <c r="C175" s="27" t="str">
        <f>IF(C173="","",C173/E175+C174)</f>
        <v/>
      </c>
      <c r="D175" s="266" t="s">
        <v>91</v>
      </c>
      <c r="E175" s="23"/>
      <c r="I175" s="26"/>
      <c r="J175" s="26"/>
      <c r="K175" s="14"/>
      <c r="L175" s="126" t="s">
        <v>92</v>
      </c>
      <c r="M175" s="127"/>
    </row>
    <row r="176" spans="1:13" s="132" customFormat="1" ht="12" customHeight="1" x14ac:dyDescent="0.3">
      <c r="A176" s="72"/>
      <c r="B176" s="59" t="s">
        <v>143</v>
      </c>
      <c r="C176" s="260"/>
      <c r="D176" s="266" t="s">
        <v>25</v>
      </c>
      <c r="E176" s="128">
        <f>SUM(C181:C185)</f>
        <v>0</v>
      </c>
      <c r="I176" s="26"/>
      <c r="J176" s="26"/>
      <c r="K176" s="14"/>
      <c r="L176" s="93" t="s">
        <v>94</v>
      </c>
      <c r="M176" s="94"/>
    </row>
    <row r="177" spans="1:13" s="132" customFormat="1" ht="12" customHeight="1" x14ac:dyDescent="0.3">
      <c r="A177" s="72"/>
      <c r="B177" s="59" t="s">
        <v>144</v>
      </c>
      <c r="C177" s="25"/>
      <c r="D177" s="266" t="s">
        <v>44</v>
      </c>
      <c r="E177" s="244">
        <f>IF(E176=0,0,(C175/C176)/C177)</f>
        <v>0</v>
      </c>
      <c r="I177" s="26"/>
      <c r="J177" s="26"/>
      <c r="K177" s="14"/>
      <c r="L177" s="57" t="s">
        <v>70</v>
      </c>
      <c r="M177" s="58">
        <f>$M$9</f>
        <v>0.05</v>
      </c>
    </row>
    <row r="178" spans="1:13" s="132" customFormat="1" ht="12" customHeight="1" x14ac:dyDescent="0.3">
      <c r="A178" s="72"/>
      <c r="B178" s="28"/>
      <c r="C178" s="122"/>
      <c r="D178" s="267"/>
      <c r="E178" s="211"/>
      <c r="I178" s="26"/>
      <c r="J178" s="26"/>
      <c r="K178" s="14"/>
      <c r="L178" s="57" t="s">
        <v>80</v>
      </c>
      <c r="M178" s="58">
        <f>$M$10</f>
        <v>0.05</v>
      </c>
    </row>
    <row r="179" spans="1:13" s="132" customFormat="1" ht="12" customHeight="1" x14ac:dyDescent="0.3">
      <c r="A179" s="72"/>
      <c r="B179" s="28"/>
      <c r="C179" s="28"/>
      <c r="D179" s="43"/>
      <c r="H179" s="29"/>
      <c r="I179" s="29"/>
      <c r="J179" s="29"/>
      <c r="K179" s="29"/>
      <c r="M179" s="71"/>
    </row>
    <row r="180" spans="1:13" s="132" customFormat="1" ht="27.6" x14ac:dyDescent="0.3">
      <c r="A180" s="246" t="s">
        <v>145</v>
      </c>
      <c r="B180" s="246" t="s">
        <v>70</v>
      </c>
      <c r="C180" s="48" t="s">
        <v>47</v>
      </c>
      <c r="D180" s="135" t="s">
        <v>97</v>
      </c>
      <c r="E180" s="48" t="s">
        <v>98</v>
      </c>
      <c r="F180" s="48" t="s">
        <v>99</v>
      </c>
      <c r="G180" s="48" t="s">
        <v>22</v>
      </c>
      <c r="H180" s="48" t="s">
        <v>23</v>
      </c>
      <c r="I180" s="135" t="s">
        <v>100</v>
      </c>
      <c r="J180" s="136"/>
      <c r="K180" s="52"/>
      <c r="L180" s="48" t="s">
        <v>101</v>
      </c>
      <c r="M180" s="48" t="s">
        <v>0</v>
      </c>
    </row>
    <row r="181" spans="1:13" s="132" customFormat="1" ht="12" customHeight="1" x14ac:dyDescent="0.3">
      <c r="A181" s="137"/>
      <c r="B181" s="71" t="str">
        <f>IF(A181="","",VLOOKUP(A181,'Database Lab+Equip'!$A:$D,2,FALSE))</f>
        <v/>
      </c>
      <c r="C181" s="139"/>
      <c r="D181" s="268"/>
      <c r="E181" s="140">
        <f>IF(A181="",0,VLOOKUP(A181,'Database Lab+Equip'!$A:$D,3,FALSE))</f>
        <v>0</v>
      </c>
      <c r="F181" s="140">
        <f>IF(A181="",0,VLOOKUP(A181,'Database Lab+Equip'!$A:$D,4,FALSE))</f>
        <v>0</v>
      </c>
      <c r="G181" s="140">
        <f>IF(A181="",0,C181*D181*E181*E$177)</f>
        <v>0</v>
      </c>
      <c r="H181" s="140">
        <f>IF(A181="",0,C181*D181*F181*E$177)</f>
        <v>0</v>
      </c>
      <c r="I181" s="140">
        <f>(H181*$M$177)+H181</f>
        <v>0</v>
      </c>
      <c r="J181" s="154"/>
      <c r="K181" s="26"/>
      <c r="M181" s="84"/>
    </row>
    <row r="182" spans="1:13" s="132" customFormat="1" ht="12" customHeight="1" x14ac:dyDescent="0.3">
      <c r="A182" s="137"/>
      <c r="B182" s="71" t="str">
        <f>IF(A182="","",VLOOKUP(A182,'Database Lab+Equip'!$A:$D,2,FALSE))</f>
        <v/>
      </c>
      <c r="C182" s="142"/>
      <c r="D182" s="269"/>
      <c r="E182" s="140">
        <f>IF(A182="",0,VLOOKUP(A182,'Database Lab+Equip'!$A:$D,3,FALSE))</f>
        <v>0</v>
      </c>
      <c r="F182" s="140">
        <f>IF(A182="",0,VLOOKUP(A182,'Database Lab+Equip'!$A:$D,4,FALSE))</f>
        <v>0</v>
      </c>
      <c r="G182" s="140">
        <f>IF(A182="",0,C182*D182*E182*E$177)</f>
        <v>0</v>
      </c>
      <c r="H182" s="140">
        <f>IF(A182="",0,C182*D182*F182*E$177)</f>
        <v>0</v>
      </c>
      <c r="I182" s="140">
        <f>(H182*$M$177)+H182</f>
        <v>0</v>
      </c>
      <c r="J182" s="154"/>
      <c r="K182" s="26"/>
      <c r="M182" s="122"/>
    </row>
    <row r="183" spans="1:13" s="132" customFormat="1" ht="12" customHeight="1" x14ac:dyDescent="0.3">
      <c r="A183" s="137"/>
      <c r="B183" s="71" t="str">
        <f>IF(A183="","",VLOOKUP(A183,'Database Lab+Equip'!$A:$D,2,FALSE))</f>
        <v/>
      </c>
      <c r="C183" s="142"/>
      <c r="D183" s="269"/>
      <c r="E183" s="140">
        <f>IF(A183="",0,VLOOKUP(A183,'Database Lab+Equip'!$A:$D,3,FALSE))</f>
        <v>0</v>
      </c>
      <c r="F183" s="140">
        <f>IF(A183="",0,VLOOKUP(A183,'Database Lab+Equip'!$A:$D,4,FALSE))</f>
        <v>0</v>
      </c>
      <c r="G183" s="140">
        <f>IF(A183="",0,C183*D183*E183*E$177)</f>
        <v>0</v>
      </c>
      <c r="H183" s="140">
        <f>IF(A183="",0,C183*D183*F183*E$177)</f>
        <v>0</v>
      </c>
      <c r="I183" s="140">
        <f>(H183*$M$177)+H183</f>
        <v>0</v>
      </c>
      <c r="J183" s="154"/>
      <c r="K183" s="26"/>
      <c r="M183" s="122"/>
    </row>
    <row r="184" spans="1:13" s="132" customFormat="1" ht="12" customHeight="1" x14ac:dyDescent="0.3">
      <c r="A184" s="137"/>
      <c r="B184" s="71" t="str">
        <f>IF(A184="","",VLOOKUP(A184,'Database Lab+Equip'!$A:$D,2,FALSE))</f>
        <v/>
      </c>
      <c r="C184" s="142"/>
      <c r="D184" s="269"/>
      <c r="E184" s="140">
        <f>IF(A184="",0,VLOOKUP(A184,'Database Lab+Equip'!$A:$D,3,FALSE))</f>
        <v>0</v>
      </c>
      <c r="F184" s="140">
        <f>IF(A184="",0,VLOOKUP(A184,'Database Lab+Equip'!$A:$D,4,FALSE))</f>
        <v>0</v>
      </c>
      <c r="G184" s="140">
        <f>IF(A184="",0,C184*D184*E184*E$177)</f>
        <v>0</v>
      </c>
      <c r="H184" s="140">
        <f>IF(A184="",0,C184*D184*F184*E$177)</f>
        <v>0</v>
      </c>
      <c r="I184" s="140">
        <f>(H184*$M$177)+H184</f>
        <v>0</v>
      </c>
      <c r="J184" s="154"/>
      <c r="K184" s="26"/>
      <c r="M184" s="122"/>
    </row>
    <row r="185" spans="1:13" s="132" customFormat="1" ht="12" customHeight="1" x14ac:dyDescent="0.3">
      <c r="A185" s="137"/>
      <c r="B185" s="71" t="str">
        <f>IF(A185="","",VLOOKUP(A185,'Database Lab+Equip'!$A:$D,2,FALSE))</f>
        <v/>
      </c>
      <c r="C185" s="142"/>
      <c r="D185" s="269"/>
      <c r="E185" s="140">
        <f>IF(A185="",0,VLOOKUP(A185,'Database Lab+Equip'!$A:$D,3,FALSE))</f>
        <v>0</v>
      </c>
      <c r="F185" s="140">
        <f>IF(A185="",0,VLOOKUP(A185,'Database Lab+Equip'!$A:$D,4,FALSE))</f>
        <v>0</v>
      </c>
      <c r="G185" s="140">
        <f>IF(A185="",0,C185*D185*E185*E$177)</f>
        <v>0</v>
      </c>
      <c r="H185" s="140">
        <f>IF(A185="",0,C185*D185*F185*E$177)</f>
        <v>0</v>
      </c>
      <c r="I185" s="140">
        <f>(H185*$M$177)+H185</f>
        <v>0</v>
      </c>
      <c r="J185" s="152" t="s">
        <v>108</v>
      </c>
      <c r="K185" s="153" t="s">
        <v>109</v>
      </c>
      <c r="L185" s="31"/>
      <c r="M185" s="123">
        <f>SUM(I181:I185)-SUM(G181:G185)</f>
        <v>0</v>
      </c>
    </row>
    <row r="186" spans="1:13" s="132" customFormat="1" ht="12" customHeight="1" x14ac:dyDescent="0.3">
      <c r="A186" s="35"/>
      <c r="C186" s="140"/>
      <c r="D186" s="270"/>
      <c r="E186" s="140"/>
      <c r="F186" s="140"/>
      <c r="G186" s="21">
        <f>SUM(G181:G185)</f>
        <v>0</v>
      </c>
      <c r="H186" s="21">
        <f>SUM(H181:H185)</f>
        <v>0</v>
      </c>
      <c r="I186" s="21">
        <f>SUM(I181:I185)</f>
        <v>0</v>
      </c>
      <c r="J186" s="21">
        <f>G186</f>
        <v>0</v>
      </c>
      <c r="K186" s="34">
        <f>I186</f>
        <v>0</v>
      </c>
      <c r="L186" s="154">
        <f>IF(J186=0,0,(K186-J186)/J186)</f>
        <v>0</v>
      </c>
      <c r="M186" s="122"/>
    </row>
    <row r="187" spans="1:13" s="132" customFormat="1" ht="12" customHeight="1" x14ac:dyDescent="0.3">
      <c r="A187" s="35"/>
      <c r="B187" s="71"/>
      <c r="C187" s="122"/>
      <c r="D187" s="265"/>
      <c r="E187" s="122"/>
      <c r="F187" s="122"/>
      <c r="G187" s="122"/>
      <c r="H187" s="122"/>
      <c r="I187" s="144"/>
      <c r="J187" s="84"/>
      <c r="K187" s="29"/>
      <c r="L187" s="122"/>
      <c r="M187" s="122"/>
    </row>
    <row r="188" spans="1:13" s="132" customFormat="1" ht="41.4" x14ac:dyDescent="0.3">
      <c r="A188" s="246" t="s">
        <v>96</v>
      </c>
      <c r="B188" s="246" t="s">
        <v>80</v>
      </c>
      <c r="C188" s="48" t="s">
        <v>47</v>
      </c>
      <c r="D188" s="135" t="s">
        <v>110</v>
      </c>
      <c r="E188" s="48" t="s">
        <v>98</v>
      </c>
      <c r="F188" s="48" t="s">
        <v>99</v>
      </c>
      <c r="G188" s="48" t="s">
        <v>22</v>
      </c>
      <c r="H188" s="48" t="s">
        <v>23</v>
      </c>
      <c r="I188" s="135" t="s">
        <v>100</v>
      </c>
      <c r="J188" s="145"/>
      <c r="K188" s="48"/>
      <c r="L188" s="124"/>
      <c r="M188" s="124"/>
    </row>
    <row r="189" spans="1:13" s="132" customFormat="1" ht="12" customHeight="1" x14ac:dyDescent="0.3">
      <c r="A189" s="148"/>
      <c r="B189" s="71" t="str">
        <f>IF(A189="","",VLOOKUP(A189,'Database Lab+Equip'!$F:$I,2,FALSE))</f>
        <v/>
      </c>
      <c r="C189" s="139"/>
      <c r="D189" s="271"/>
      <c r="E189" s="140">
        <f>IF(A189="",0,VLOOKUP(A189,'Database Lab+Equip'!$F:$I,3,FALSE))</f>
        <v>0</v>
      </c>
      <c r="F189" s="140">
        <f>IF(A189="",0,VLOOKUP(A189,'Database Lab+Equip'!$F:$I,4,FALSE))</f>
        <v>0</v>
      </c>
      <c r="G189" s="140">
        <f>IF(A189="",0,C189*D189*E189*E$177)</f>
        <v>0</v>
      </c>
      <c r="H189" s="140">
        <f>IF(A189="",0,C189*D189*F189*E$177)</f>
        <v>0</v>
      </c>
      <c r="I189" s="140">
        <f>(H189*$M$178)+H189</f>
        <v>0</v>
      </c>
      <c r="J189" s="84"/>
      <c r="K189" s="29"/>
      <c r="L189" s="122"/>
      <c r="M189" s="84"/>
    </row>
    <row r="190" spans="1:13" s="132" customFormat="1" ht="12" customHeight="1" x14ac:dyDescent="0.3">
      <c r="A190" s="148"/>
      <c r="B190" s="71" t="str">
        <f>IF(A190="","",VLOOKUP(A190,'Database Lab+Equip'!$F:$I,2,FALSE))</f>
        <v/>
      </c>
      <c r="C190" s="142"/>
      <c r="D190" s="272"/>
      <c r="E190" s="140">
        <f>IF(A190="",0,VLOOKUP(A190,'Database Lab+Equip'!$F:$I,3,FALSE))</f>
        <v>0</v>
      </c>
      <c r="F190" s="140">
        <f>IF(A190="",0,VLOOKUP(A190,'Database Lab+Equip'!$F:$I,4,FALSE))</f>
        <v>0</v>
      </c>
      <c r="G190" s="140">
        <f t="shared" ref="G190:G196" si="18">IF(A190="",0,C190*D190*E190*E$177)</f>
        <v>0</v>
      </c>
      <c r="H190" s="140">
        <f t="shared" ref="H190:H196" si="19">IF(A190="",0,C190*D190*F190*E$177)</f>
        <v>0</v>
      </c>
      <c r="I190" s="140">
        <f t="shared" ref="I190:I195" si="20">(H190*$M$178)+H190</f>
        <v>0</v>
      </c>
      <c r="J190" s="122"/>
      <c r="K190" s="29"/>
      <c r="L190" s="122"/>
      <c r="M190" s="122"/>
    </row>
    <row r="191" spans="1:13" s="132" customFormat="1" ht="12" customHeight="1" x14ac:dyDescent="0.3">
      <c r="A191" s="148"/>
      <c r="B191" s="71" t="str">
        <f>IF(A191="","",VLOOKUP(A191,'Database Lab+Equip'!$F:$I,2,FALSE))</f>
        <v/>
      </c>
      <c r="C191" s="142"/>
      <c r="D191" s="272"/>
      <c r="E191" s="140">
        <f>IF(A191="",0,VLOOKUP(A191,'Database Lab+Equip'!$F:$I,3,FALSE))</f>
        <v>0</v>
      </c>
      <c r="F191" s="140">
        <f>IF(A191="",0,VLOOKUP(A191,'Database Lab+Equip'!$F:$I,4,FALSE))</f>
        <v>0</v>
      </c>
      <c r="G191" s="140">
        <f t="shared" si="18"/>
        <v>0</v>
      </c>
      <c r="H191" s="140">
        <f t="shared" si="19"/>
        <v>0</v>
      </c>
      <c r="I191" s="140">
        <f t="shared" si="20"/>
        <v>0</v>
      </c>
      <c r="J191" s="84"/>
      <c r="K191" s="29"/>
      <c r="L191" s="122"/>
      <c r="M191" s="122"/>
    </row>
    <row r="192" spans="1:13" s="132" customFormat="1" ht="12" customHeight="1" x14ac:dyDescent="0.3">
      <c r="A192" s="148"/>
      <c r="B192" s="71" t="str">
        <f>IF(A192="","",VLOOKUP(A192,'Database Lab+Equip'!$F:$I,2,FALSE))</f>
        <v/>
      </c>
      <c r="C192" s="142"/>
      <c r="D192" s="272"/>
      <c r="E192" s="140">
        <f>IF(A192="",0,VLOOKUP(A192,'Database Lab+Equip'!$F:$I,3,FALSE))</f>
        <v>0</v>
      </c>
      <c r="F192" s="140">
        <f>IF(A192="",0,VLOOKUP(A192,'Database Lab+Equip'!$F:$I,4,FALSE))</f>
        <v>0</v>
      </c>
      <c r="G192" s="140">
        <f t="shared" si="18"/>
        <v>0</v>
      </c>
      <c r="H192" s="140">
        <f t="shared" si="19"/>
        <v>0</v>
      </c>
      <c r="I192" s="140">
        <f t="shared" si="20"/>
        <v>0</v>
      </c>
      <c r="J192" s="84"/>
      <c r="K192" s="29"/>
      <c r="L192" s="122"/>
      <c r="M192" s="122"/>
    </row>
    <row r="193" spans="1:13" s="132" customFormat="1" ht="12" customHeight="1" x14ac:dyDescent="0.3">
      <c r="A193" s="148"/>
      <c r="B193" s="71" t="str">
        <f>IF(A193="","",VLOOKUP(A193,'Database Lab+Equip'!$F:$I,2,FALSE))</f>
        <v/>
      </c>
      <c r="C193" s="142"/>
      <c r="D193" s="272"/>
      <c r="E193" s="140">
        <f>IF(A193="",0,VLOOKUP(A193,'Database Lab+Equip'!$F:$I,3,FALSE))</f>
        <v>0</v>
      </c>
      <c r="F193" s="140">
        <f>IF(A193="",0,VLOOKUP(A193,'Database Lab+Equip'!$F:$I,4,FALSE))</f>
        <v>0</v>
      </c>
      <c r="G193" s="140">
        <f t="shared" si="18"/>
        <v>0</v>
      </c>
      <c r="H193" s="140">
        <f t="shared" si="19"/>
        <v>0</v>
      </c>
      <c r="I193" s="140">
        <f t="shared" si="20"/>
        <v>0</v>
      </c>
      <c r="J193" s="84"/>
      <c r="K193" s="29"/>
      <c r="L193" s="122"/>
      <c r="M193" s="122"/>
    </row>
    <row r="194" spans="1:13" s="132" customFormat="1" ht="12" customHeight="1" x14ac:dyDescent="0.3">
      <c r="A194" s="148"/>
      <c r="B194" s="71" t="str">
        <f>IF(A194="","",VLOOKUP(A194,'Database Lab+Equip'!$F:$I,2,FALSE))</f>
        <v/>
      </c>
      <c r="C194" s="142"/>
      <c r="D194" s="272"/>
      <c r="E194" s="140">
        <f>IF(A194="",0,VLOOKUP(A194,'Database Lab+Equip'!$F:$I,3,FALSE))</f>
        <v>0</v>
      </c>
      <c r="F194" s="140">
        <f>IF(A194="",0,VLOOKUP(A194,'Database Lab+Equip'!$F:$I,4,FALSE))</f>
        <v>0</v>
      </c>
      <c r="G194" s="140">
        <f t="shared" si="18"/>
        <v>0</v>
      </c>
      <c r="H194" s="140">
        <f t="shared" si="19"/>
        <v>0</v>
      </c>
      <c r="I194" s="140">
        <f t="shared" si="20"/>
        <v>0</v>
      </c>
      <c r="J194" s="84"/>
      <c r="K194" s="29"/>
      <c r="L194" s="122"/>
      <c r="M194" s="122"/>
    </row>
    <row r="195" spans="1:13" s="132" customFormat="1" ht="12" customHeight="1" x14ac:dyDescent="0.3">
      <c r="A195" s="148"/>
      <c r="B195" s="71" t="str">
        <f>IF(A195="","",VLOOKUP(A195,'Database Lab+Equip'!$F:$I,2,FALSE))</f>
        <v/>
      </c>
      <c r="C195" s="142"/>
      <c r="D195" s="272"/>
      <c r="E195" s="140">
        <f>IF(A195="",0,VLOOKUP(A195,'Database Lab+Equip'!$F:$I,3,FALSE))</f>
        <v>0</v>
      </c>
      <c r="F195" s="140">
        <f>IF(A195="",0,VLOOKUP(A195,'Database Lab+Equip'!$F:$I,4,FALSE))</f>
        <v>0</v>
      </c>
      <c r="G195" s="140">
        <f t="shared" si="18"/>
        <v>0</v>
      </c>
      <c r="H195" s="140">
        <f t="shared" si="19"/>
        <v>0</v>
      </c>
      <c r="I195" s="140">
        <f t="shared" si="20"/>
        <v>0</v>
      </c>
      <c r="J195" s="84"/>
      <c r="K195" s="29"/>
      <c r="L195" s="122"/>
      <c r="M195" s="122"/>
    </row>
    <row r="196" spans="1:13" s="132" customFormat="1" ht="12" customHeight="1" x14ac:dyDescent="0.3">
      <c r="A196" s="148"/>
      <c r="B196" s="71" t="str">
        <f>IF(A196="","",VLOOKUP(A196,'Database Lab+Equip'!$F:$I,2,FALSE))</f>
        <v/>
      </c>
      <c r="C196" s="150"/>
      <c r="D196" s="273"/>
      <c r="E196" s="140">
        <f>IF(A196="",0,VLOOKUP(A196,'Database Lab+Equip'!$F:$I,3,FALSE))</f>
        <v>0</v>
      </c>
      <c r="F196" s="140">
        <f>IF(A196="",0,VLOOKUP(A196,'Database Lab+Equip'!$F:$I,4,FALSE))</f>
        <v>0</v>
      </c>
      <c r="G196" s="140">
        <f t="shared" si="18"/>
        <v>0</v>
      </c>
      <c r="H196" s="140">
        <f t="shared" si="19"/>
        <v>0</v>
      </c>
      <c r="I196" s="140">
        <f>(H196*$M$178)+H196</f>
        <v>0</v>
      </c>
      <c r="J196" s="152" t="s">
        <v>108</v>
      </c>
      <c r="K196" s="153" t="s">
        <v>109</v>
      </c>
      <c r="L196" s="31"/>
      <c r="M196" s="125">
        <f>SUM(I189:I196)-SUM(G189:G196)</f>
        <v>0</v>
      </c>
    </row>
    <row r="197" spans="1:13" s="132" customFormat="1" ht="12" customHeight="1" x14ac:dyDescent="0.3">
      <c r="A197" s="72"/>
      <c r="B197" s="143"/>
      <c r="C197" s="130"/>
      <c r="D197" s="265"/>
      <c r="E197" s="122"/>
      <c r="F197" s="122"/>
      <c r="G197" s="21">
        <f>SUM(G189:G196)</f>
        <v>0</v>
      </c>
      <c r="H197" s="21">
        <f>SUM(H189:H196)</f>
        <v>0</v>
      </c>
      <c r="I197" s="21">
        <f>SUM(I189:I196)</f>
        <v>0</v>
      </c>
      <c r="J197" s="21">
        <f>G197</f>
        <v>0</v>
      </c>
      <c r="K197" s="34">
        <f>I197</f>
        <v>0</v>
      </c>
      <c r="L197" s="154">
        <f>IF(J197=0,0,(K197-J197)/J197)</f>
        <v>0</v>
      </c>
      <c r="M197" s="187">
        <f>M185+M196</f>
        <v>0</v>
      </c>
    </row>
    <row r="198" spans="1:13" s="31" customFormat="1" ht="13.8" x14ac:dyDescent="0.3">
      <c r="A198" s="110"/>
      <c r="B198" s="115"/>
      <c r="C198" s="116"/>
      <c r="D198" s="274"/>
      <c r="E198" s="117"/>
      <c r="F198" s="117"/>
      <c r="G198" s="118"/>
      <c r="H198" s="110"/>
      <c r="I198" s="161"/>
      <c r="J198" s="162">
        <f>J186+J197</f>
        <v>0</v>
      </c>
      <c r="K198" s="162">
        <f>K186+K197</f>
        <v>0</v>
      </c>
      <c r="L198" s="119">
        <f>IF(J198=0,0,(K198-J198)/K198)</f>
        <v>0</v>
      </c>
      <c r="M198" s="173"/>
    </row>
    <row r="199" spans="1:13" s="31" customFormat="1" ht="13.8" x14ac:dyDescent="0.3">
      <c r="A199" s="112"/>
      <c r="B199" s="223"/>
      <c r="C199" s="214"/>
      <c r="D199" s="275"/>
      <c r="E199" s="215"/>
      <c r="F199" s="215"/>
      <c r="G199" s="216"/>
      <c r="H199" s="112"/>
      <c r="I199" s="217"/>
      <c r="J199" s="218"/>
      <c r="K199" s="218"/>
      <c r="L199" s="224"/>
      <c r="M199" s="213"/>
    </row>
    <row r="200" spans="1:13" ht="15.6" x14ac:dyDescent="0.3">
      <c r="B200" s="241" t="s">
        <v>172</v>
      </c>
      <c r="C200" s="42"/>
      <c r="D200" s="42"/>
      <c r="E200" s="42"/>
      <c r="F200" s="129"/>
      <c r="H200" s="132"/>
      <c r="I200" s="132"/>
      <c r="L200" s="221" t="s">
        <v>85</v>
      </c>
      <c r="M200" s="222"/>
    </row>
    <row r="201" spans="1:13" s="132" customFormat="1" ht="12" customHeight="1" x14ac:dyDescent="0.3">
      <c r="A201" s="72"/>
      <c r="B201" s="24" t="s">
        <v>135</v>
      </c>
      <c r="C201" s="22"/>
      <c r="D201" s="266" t="s">
        <v>87</v>
      </c>
      <c r="E201" s="23"/>
      <c r="F201" s="133"/>
      <c r="H201" s="14"/>
      <c r="I201" s="14"/>
      <c r="J201" s="14"/>
      <c r="K201" s="14"/>
      <c r="L201" s="219" t="s">
        <v>88</v>
      </c>
      <c r="M201" s="220"/>
    </row>
    <row r="202" spans="1:13" s="132" customFormat="1" ht="12" customHeight="1" x14ac:dyDescent="0.3">
      <c r="A202" s="72"/>
      <c r="B202" s="24" t="s">
        <v>141</v>
      </c>
      <c r="C202" s="25"/>
      <c r="D202" s="266" t="s">
        <v>89</v>
      </c>
      <c r="E202" s="23"/>
      <c r="K202" s="14"/>
      <c r="L202" s="126" t="s">
        <v>90</v>
      </c>
      <c r="M202" s="127"/>
    </row>
    <row r="203" spans="1:13" s="132" customFormat="1" ht="12" customHeight="1" x14ac:dyDescent="0.3">
      <c r="A203" s="72"/>
      <c r="B203" s="24" t="s">
        <v>142</v>
      </c>
      <c r="C203" s="27" t="str">
        <f>IF(C201="","",C201/E203+C202)</f>
        <v/>
      </c>
      <c r="D203" s="266" t="s">
        <v>91</v>
      </c>
      <c r="E203" s="23"/>
      <c r="I203" s="26"/>
      <c r="J203" s="26"/>
      <c r="K203" s="14"/>
      <c r="L203" s="126" t="s">
        <v>92</v>
      </c>
      <c r="M203" s="127"/>
    </row>
    <row r="204" spans="1:13" s="132" customFormat="1" ht="12" customHeight="1" x14ac:dyDescent="0.3">
      <c r="A204" s="72"/>
      <c r="B204" s="59" t="s">
        <v>143</v>
      </c>
      <c r="C204" s="260"/>
      <c r="D204" s="266" t="s">
        <v>25</v>
      </c>
      <c r="E204" s="128">
        <f>SUM(C209:C213)</f>
        <v>0</v>
      </c>
      <c r="I204" s="26"/>
      <c r="J204" s="26"/>
      <c r="K204" s="14"/>
      <c r="L204" s="93" t="s">
        <v>94</v>
      </c>
      <c r="M204" s="94"/>
    </row>
    <row r="205" spans="1:13" s="132" customFormat="1" ht="12" customHeight="1" x14ac:dyDescent="0.3">
      <c r="A205" s="72"/>
      <c r="B205" s="59" t="s">
        <v>144</v>
      </c>
      <c r="C205" s="25"/>
      <c r="D205" s="266" t="s">
        <v>44</v>
      </c>
      <c r="E205" s="244">
        <f>IF(E204=0,0,(C203/C204)/C205)</f>
        <v>0</v>
      </c>
      <c r="I205" s="26"/>
      <c r="J205" s="26"/>
      <c r="K205" s="14"/>
      <c r="L205" s="57" t="s">
        <v>70</v>
      </c>
      <c r="M205" s="58">
        <f>$M$9</f>
        <v>0.05</v>
      </c>
    </row>
    <row r="206" spans="1:13" s="132" customFormat="1" ht="12" customHeight="1" x14ac:dyDescent="0.3">
      <c r="A206" s="72"/>
      <c r="B206" s="28"/>
      <c r="C206" s="122"/>
      <c r="D206" s="267"/>
      <c r="E206" s="211"/>
      <c r="I206" s="26"/>
      <c r="J206" s="26"/>
      <c r="K206" s="14"/>
      <c r="L206" s="57" t="s">
        <v>80</v>
      </c>
      <c r="M206" s="58">
        <f>$M$10</f>
        <v>0.05</v>
      </c>
    </row>
    <row r="207" spans="1:13" s="132" customFormat="1" ht="12" customHeight="1" x14ac:dyDescent="0.3">
      <c r="A207" s="72"/>
      <c r="B207" s="28"/>
      <c r="C207" s="28"/>
      <c r="D207" s="43"/>
      <c r="H207" s="29"/>
      <c r="I207" s="29"/>
      <c r="J207" s="29"/>
      <c r="K207" s="29"/>
      <c r="M207" s="71"/>
    </row>
    <row r="208" spans="1:13" s="132" customFormat="1" ht="27.6" x14ac:dyDescent="0.3">
      <c r="A208" s="246" t="s">
        <v>145</v>
      </c>
      <c r="B208" s="246" t="s">
        <v>70</v>
      </c>
      <c r="C208" s="48" t="s">
        <v>47</v>
      </c>
      <c r="D208" s="135" t="s">
        <v>97</v>
      </c>
      <c r="E208" s="48" t="s">
        <v>98</v>
      </c>
      <c r="F208" s="48" t="s">
        <v>99</v>
      </c>
      <c r="G208" s="48" t="s">
        <v>22</v>
      </c>
      <c r="H208" s="48" t="s">
        <v>23</v>
      </c>
      <c r="I208" s="135" t="s">
        <v>100</v>
      </c>
      <c r="J208" s="136"/>
      <c r="K208" s="52"/>
      <c r="L208" s="48" t="s">
        <v>101</v>
      </c>
      <c r="M208" s="48" t="s">
        <v>0</v>
      </c>
    </row>
    <row r="209" spans="1:13" s="132" customFormat="1" ht="12" customHeight="1" x14ac:dyDescent="0.3">
      <c r="A209" s="137"/>
      <c r="B209" s="71" t="str">
        <f>IF(A209="","",VLOOKUP(A209,'Database Lab+Equip'!$A:$D,2,FALSE))</f>
        <v/>
      </c>
      <c r="C209" s="139"/>
      <c r="D209" s="268"/>
      <c r="E209" s="140">
        <f>IF(A209="",0,VLOOKUP(A209,'Database Lab+Equip'!$A:$D,3,FALSE))</f>
        <v>0</v>
      </c>
      <c r="F209" s="140">
        <f>IF(A209="",0,VLOOKUP(A209,'Database Lab+Equip'!$A:$D,4,FALSE))</f>
        <v>0</v>
      </c>
      <c r="G209" s="140">
        <f>IF(A209="",0,C209*D209*E209*E$205)</f>
        <v>0</v>
      </c>
      <c r="H209" s="140">
        <f>IF(A209="",0,C209*D209*F209*E$205)</f>
        <v>0</v>
      </c>
      <c r="I209" s="140">
        <f>(H209*$M$205)+H209</f>
        <v>0</v>
      </c>
      <c r="J209" s="154"/>
      <c r="K209" s="26"/>
      <c r="M209" s="84"/>
    </row>
    <row r="210" spans="1:13" s="132" customFormat="1" ht="12" customHeight="1" x14ac:dyDescent="0.3">
      <c r="A210" s="137"/>
      <c r="B210" s="71" t="str">
        <f>IF(A210="","",VLOOKUP(A210,'Database Lab+Equip'!$A:$D,2,FALSE))</f>
        <v/>
      </c>
      <c r="C210" s="142"/>
      <c r="D210" s="269"/>
      <c r="E210" s="140">
        <f>IF(A210="",0,VLOOKUP(A210,'Database Lab+Equip'!$A:$D,3,FALSE))</f>
        <v>0</v>
      </c>
      <c r="F210" s="140">
        <f>IF(A210="",0,VLOOKUP(A210,'Database Lab+Equip'!$A:$D,4,FALSE))</f>
        <v>0</v>
      </c>
      <c r="G210" s="140">
        <f>IF(A210="",0,C210*D210*E210*E$205)</f>
        <v>0</v>
      </c>
      <c r="H210" s="140">
        <f>IF(A210="",0,C210*D210*F210*E$205)</f>
        <v>0</v>
      </c>
      <c r="I210" s="140">
        <f>(H210*$M$205)+H210</f>
        <v>0</v>
      </c>
      <c r="J210" s="154"/>
      <c r="K210" s="26"/>
      <c r="M210" s="122"/>
    </row>
    <row r="211" spans="1:13" s="132" customFormat="1" ht="12" customHeight="1" x14ac:dyDescent="0.3">
      <c r="A211" s="137"/>
      <c r="B211" s="71" t="str">
        <f>IF(A211="","",VLOOKUP(A211,'Database Lab+Equip'!$A:$D,2,FALSE))</f>
        <v/>
      </c>
      <c r="C211" s="142"/>
      <c r="D211" s="269"/>
      <c r="E211" s="140">
        <f>IF(A211="",0,VLOOKUP(A211,'Database Lab+Equip'!$A:$D,3,FALSE))</f>
        <v>0</v>
      </c>
      <c r="F211" s="140">
        <f>IF(A211="",0,VLOOKUP(A211,'Database Lab+Equip'!$A:$D,4,FALSE))</f>
        <v>0</v>
      </c>
      <c r="G211" s="140">
        <f>IF(A211="",0,C211*D211*E211*E$205)</f>
        <v>0</v>
      </c>
      <c r="H211" s="140">
        <f>IF(A211="",0,C211*D211*F211*E$205)</f>
        <v>0</v>
      </c>
      <c r="I211" s="140">
        <f>(H211*$M$205)+H211</f>
        <v>0</v>
      </c>
      <c r="J211" s="154"/>
      <c r="K211" s="26"/>
      <c r="M211" s="122"/>
    </row>
    <row r="212" spans="1:13" s="132" customFormat="1" ht="12" customHeight="1" x14ac:dyDescent="0.3">
      <c r="A212" s="137"/>
      <c r="B212" s="71" t="str">
        <f>IF(A212="","",VLOOKUP(A212,'Database Lab+Equip'!$A:$D,2,FALSE))</f>
        <v/>
      </c>
      <c r="C212" s="142"/>
      <c r="D212" s="269"/>
      <c r="E212" s="140">
        <f>IF(A212="",0,VLOOKUP(A212,'Database Lab+Equip'!$A:$D,3,FALSE))</f>
        <v>0</v>
      </c>
      <c r="F212" s="140">
        <f>IF(A212="",0,VLOOKUP(A212,'Database Lab+Equip'!$A:$D,4,FALSE))</f>
        <v>0</v>
      </c>
      <c r="G212" s="140">
        <f>IF(A212="",0,C212*D212*E212*E$205)</f>
        <v>0</v>
      </c>
      <c r="H212" s="140">
        <f>IF(A212="",0,C212*D212*F212*E$205)</f>
        <v>0</v>
      </c>
      <c r="I212" s="140">
        <f>(H212*$M$205)+H212</f>
        <v>0</v>
      </c>
      <c r="J212" s="154"/>
      <c r="K212" s="26"/>
      <c r="M212" s="122"/>
    </row>
    <row r="213" spans="1:13" s="132" customFormat="1" ht="12" customHeight="1" x14ac:dyDescent="0.3">
      <c r="A213" s="137"/>
      <c r="B213" s="71" t="str">
        <f>IF(A213="","",VLOOKUP(A213,'Database Lab+Equip'!$A:$D,2,FALSE))</f>
        <v/>
      </c>
      <c r="C213" s="142"/>
      <c r="D213" s="269"/>
      <c r="E213" s="140">
        <f>IF(A213="",0,VLOOKUP(A213,'Database Lab+Equip'!$A:$D,3,FALSE))</f>
        <v>0</v>
      </c>
      <c r="F213" s="140">
        <f>IF(A213="",0,VLOOKUP(A213,'Database Lab+Equip'!$A:$D,4,FALSE))</f>
        <v>0</v>
      </c>
      <c r="G213" s="140">
        <f>IF(A213="",0,C213*D213*E213*E$205)</f>
        <v>0</v>
      </c>
      <c r="H213" s="140">
        <f>IF(A213="",0,C213*D213*F213*E$205)</f>
        <v>0</v>
      </c>
      <c r="I213" s="140">
        <f>(H213*$M$205)+H213</f>
        <v>0</v>
      </c>
      <c r="J213" s="152" t="s">
        <v>108</v>
      </c>
      <c r="K213" s="153" t="s">
        <v>109</v>
      </c>
      <c r="L213" s="31"/>
      <c r="M213" s="123">
        <f>SUM(I209:I213)-SUM(G209:G213)</f>
        <v>0</v>
      </c>
    </row>
    <row r="214" spans="1:13" s="132" customFormat="1" ht="12" customHeight="1" x14ac:dyDescent="0.3">
      <c r="A214" s="35"/>
      <c r="C214" s="140"/>
      <c r="D214" s="270"/>
      <c r="E214" s="140"/>
      <c r="F214" s="140"/>
      <c r="G214" s="21">
        <f>SUM(G209:G213)</f>
        <v>0</v>
      </c>
      <c r="H214" s="21">
        <f>SUM(H209:H213)</f>
        <v>0</v>
      </c>
      <c r="I214" s="21">
        <f>SUM(I209:I213)</f>
        <v>0</v>
      </c>
      <c r="J214" s="21">
        <f>G214</f>
        <v>0</v>
      </c>
      <c r="K214" s="34">
        <f>I214</f>
        <v>0</v>
      </c>
      <c r="L214" s="154">
        <f>IF(J214=0,0,(K214-J214)/J214)</f>
        <v>0</v>
      </c>
      <c r="M214" s="122"/>
    </row>
    <row r="215" spans="1:13" s="132" customFormat="1" ht="12" customHeight="1" x14ac:dyDescent="0.3">
      <c r="A215" s="35"/>
      <c r="B215" s="71"/>
      <c r="C215" s="122"/>
      <c r="D215" s="265"/>
      <c r="E215" s="122"/>
      <c r="F215" s="122"/>
      <c r="G215" s="122"/>
      <c r="H215" s="122"/>
      <c r="I215" s="144"/>
      <c r="J215" s="84"/>
      <c r="K215" s="29"/>
      <c r="L215" s="122"/>
      <c r="M215" s="122"/>
    </row>
    <row r="216" spans="1:13" s="132" customFormat="1" ht="41.4" x14ac:dyDescent="0.3">
      <c r="A216" s="246" t="s">
        <v>96</v>
      </c>
      <c r="B216" s="246" t="s">
        <v>80</v>
      </c>
      <c r="C216" s="48" t="s">
        <v>47</v>
      </c>
      <c r="D216" s="135" t="s">
        <v>110</v>
      </c>
      <c r="E216" s="48" t="s">
        <v>98</v>
      </c>
      <c r="F216" s="48" t="s">
        <v>99</v>
      </c>
      <c r="G216" s="48" t="s">
        <v>22</v>
      </c>
      <c r="H216" s="48" t="s">
        <v>23</v>
      </c>
      <c r="I216" s="135" t="s">
        <v>100</v>
      </c>
      <c r="J216" s="145"/>
      <c r="K216" s="48"/>
      <c r="L216" s="124"/>
      <c r="M216" s="124"/>
    </row>
    <row r="217" spans="1:13" s="132" customFormat="1" ht="12" customHeight="1" x14ac:dyDescent="0.3">
      <c r="A217" s="148"/>
      <c r="B217" s="71" t="str">
        <f>IF(A217="","",VLOOKUP(A217,'Database Lab+Equip'!$F:$I,2,FALSE))</f>
        <v/>
      </c>
      <c r="C217" s="139"/>
      <c r="D217" s="271"/>
      <c r="E217" s="140">
        <f>IF(A217="",0,VLOOKUP(A217,'Database Lab+Equip'!$F:$I,3,FALSE))</f>
        <v>0</v>
      </c>
      <c r="F217" s="140">
        <f>IF(A217="",0,VLOOKUP(A217,'Database Lab+Equip'!$F:$I,4,FALSE))</f>
        <v>0</v>
      </c>
      <c r="G217" s="140">
        <f>IF(A217="",0,C217*D217*E217*E$205)</f>
        <v>0</v>
      </c>
      <c r="H217" s="140">
        <f>IF(A217="",0,C217*D217*F217*E$205)</f>
        <v>0</v>
      </c>
      <c r="I217" s="140">
        <f>(H217*$M$206)+H217</f>
        <v>0</v>
      </c>
      <c r="J217" s="84"/>
      <c r="K217" s="29"/>
      <c r="L217" s="122"/>
      <c r="M217" s="84"/>
    </row>
    <row r="218" spans="1:13" s="132" customFormat="1" ht="12" customHeight="1" x14ac:dyDescent="0.3">
      <c r="A218" s="148"/>
      <c r="B218" s="71" t="str">
        <f>IF(A218="","",VLOOKUP(A218,'Database Lab+Equip'!$F:$I,2,FALSE))</f>
        <v/>
      </c>
      <c r="C218" s="142"/>
      <c r="D218" s="272"/>
      <c r="E218" s="140">
        <f>IF(A218="",0,VLOOKUP(A218,'Database Lab+Equip'!$F:$I,3,FALSE))</f>
        <v>0</v>
      </c>
      <c r="F218" s="140">
        <f>IF(A218="",0,VLOOKUP(A218,'Database Lab+Equip'!$F:$I,4,FALSE))</f>
        <v>0</v>
      </c>
      <c r="G218" s="140">
        <f t="shared" ref="G218:G224" si="21">IF(A218="",0,C218*D218*E218*E$205)</f>
        <v>0</v>
      </c>
      <c r="H218" s="140">
        <f t="shared" ref="H218:H224" si="22">IF(A218="",0,C218*D218*F218*E$205)</f>
        <v>0</v>
      </c>
      <c r="I218" s="140">
        <f t="shared" ref="I218:I224" si="23">(H218*$M$206)+H218</f>
        <v>0</v>
      </c>
      <c r="J218" s="122"/>
      <c r="K218" s="29"/>
      <c r="L218" s="122"/>
      <c r="M218" s="122"/>
    </row>
    <row r="219" spans="1:13" s="132" customFormat="1" ht="12" customHeight="1" x14ac:dyDescent="0.3">
      <c r="A219" s="148"/>
      <c r="B219" s="71" t="str">
        <f>IF(A219="","",VLOOKUP(A219,'Database Lab+Equip'!$F:$I,2,FALSE))</f>
        <v/>
      </c>
      <c r="C219" s="142"/>
      <c r="D219" s="272"/>
      <c r="E219" s="140">
        <f>IF(A219="",0,VLOOKUP(A219,'Database Lab+Equip'!$F:$I,3,FALSE))</f>
        <v>0</v>
      </c>
      <c r="F219" s="140">
        <f>IF(A219="",0,VLOOKUP(A219,'Database Lab+Equip'!$F:$I,4,FALSE))</f>
        <v>0</v>
      </c>
      <c r="G219" s="140">
        <f t="shared" si="21"/>
        <v>0</v>
      </c>
      <c r="H219" s="140">
        <f t="shared" si="22"/>
        <v>0</v>
      </c>
      <c r="I219" s="140">
        <f t="shared" si="23"/>
        <v>0</v>
      </c>
      <c r="J219" s="84"/>
      <c r="K219" s="29"/>
      <c r="L219" s="122"/>
      <c r="M219" s="122"/>
    </row>
    <row r="220" spans="1:13" s="132" customFormat="1" ht="12" customHeight="1" x14ac:dyDescent="0.3">
      <c r="A220" s="148"/>
      <c r="B220" s="71" t="str">
        <f>IF(A220="","",VLOOKUP(A220,'Database Lab+Equip'!$F:$I,2,FALSE))</f>
        <v/>
      </c>
      <c r="C220" s="142"/>
      <c r="D220" s="272"/>
      <c r="E220" s="140">
        <f>IF(A220="",0,VLOOKUP(A220,'Database Lab+Equip'!$F:$I,3,FALSE))</f>
        <v>0</v>
      </c>
      <c r="F220" s="140">
        <f>IF(A220="",0,VLOOKUP(A220,'Database Lab+Equip'!$F:$I,4,FALSE))</f>
        <v>0</v>
      </c>
      <c r="G220" s="140">
        <f t="shared" si="21"/>
        <v>0</v>
      </c>
      <c r="H220" s="140">
        <f t="shared" si="22"/>
        <v>0</v>
      </c>
      <c r="I220" s="140">
        <f t="shared" si="23"/>
        <v>0</v>
      </c>
      <c r="J220" s="84"/>
      <c r="K220" s="29"/>
      <c r="L220" s="122"/>
      <c r="M220" s="122"/>
    </row>
    <row r="221" spans="1:13" s="132" customFormat="1" ht="12" customHeight="1" x14ac:dyDescent="0.3">
      <c r="A221" s="148"/>
      <c r="B221" s="71" t="str">
        <f>IF(A221="","",VLOOKUP(A221,'Database Lab+Equip'!$F:$I,2,FALSE))</f>
        <v/>
      </c>
      <c r="C221" s="142"/>
      <c r="D221" s="272"/>
      <c r="E221" s="140">
        <f>IF(A221="",0,VLOOKUP(A221,'Database Lab+Equip'!$F:$I,3,FALSE))</f>
        <v>0</v>
      </c>
      <c r="F221" s="140">
        <f>IF(A221="",0,VLOOKUP(A221,'Database Lab+Equip'!$F:$I,4,FALSE))</f>
        <v>0</v>
      </c>
      <c r="G221" s="140">
        <f t="shared" si="21"/>
        <v>0</v>
      </c>
      <c r="H221" s="140">
        <f t="shared" si="22"/>
        <v>0</v>
      </c>
      <c r="I221" s="140">
        <f t="shared" si="23"/>
        <v>0</v>
      </c>
      <c r="J221" s="84"/>
      <c r="K221" s="29"/>
      <c r="L221" s="122"/>
      <c r="M221" s="122"/>
    </row>
    <row r="222" spans="1:13" s="132" customFormat="1" ht="12" customHeight="1" x14ac:dyDescent="0.3">
      <c r="A222" s="148"/>
      <c r="B222" s="71" t="str">
        <f>IF(A222="","",VLOOKUP(A222,'Database Lab+Equip'!$F:$I,2,FALSE))</f>
        <v/>
      </c>
      <c r="C222" s="142"/>
      <c r="D222" s="272"/>
      <c r="E222" s="140">
        <f>IF(A222="",0,VLOOKUP(A222,'Database Lab+Equip'!$F:$I,3,FALSE))</f>
        <v>0</v>
      </c>
      <c r="F222" s="140">
        <f>IF(A222="",0,VLOOKUP(A222,'Database Lab+Equip'!$F:$I,4,FALSE))</f>
        <v>0</v>
      </c>
      <c r="G222" s="140">
        <f t="shared" si="21"/>
        <v>0</v>
      </c>
      <c r="H222" s="140">
        <f t="shared" si="22"/>
        <v>0</v>
      </c>
      <c r="I222" s="140">
        <f t="shared" si="23"/>
        <v>0</v>
      </c>
      <c r="J222" s="84"/>
      <c r="K222" s="29"/>
      <c r="L222" s="122"/>
      <c r="M222" s="122"/>
    </row>
    <row r="223" spans="1:13" s="132" customFormat="1" ht="12" customHeight="1" x14ac:dyDescent="0.3">
      <c r="A223" s="148"/>
      <c r="B223" s="71" t="str">
        <f>IF(A223="","",VLOOKUP(A223,'Database Lab+Equip'!$F:$I,2,FALSE))</f>
        <v/>
      </c>
      <c r="C223" s="142"/>
      <c r="D223" s="272"/>
      <c r="E223" s="140">
        <f>IF(A223="",0,VLOOKUP(A223,'Database Lab+Equip'!$F:$I,3,FALSE))</f>
        <v>0</v>
      </c>
      <c r="F223" s="140">
        <f>IF(A223="",0,VLOOKUP(A223,'Database Lab+Equip'!$F:$I,4,FALSE))</f>
        <v>0</v>
      </c>
      <c r="G223" s="140">
        <f t="shared" si="21"/>
        <v>0</v>
      </c>
      <c r="H223" s="140">
        <f t="shared" si="22"/>
        <v>0</v>
      </c>
      <c r="I223" s="140">
        <f t="shared" si="23"/>
        <v>0</v>
      </c>
      <c r="J223" s="84"/>
      <c r="K223" s="29"/>
      <c r="L223" s="122"/>
      <c r="M223" s="122"/>
    </row>
    <row r="224" spans="1:13" s="132" customFormat="1" ht="12" customHeight="1" x14ac:dyDescent="0.3">
      <c r="A224" s="148"/>
      <c r="B224" s="71" t="str">
        <f>IF(A224="","",VLOOKUP(A224,'Database Lab+Equip'!$F:$I,2,FALSE))</f>
        <v/>
      </c>
      <c r="C224" s="150"/>
      <c r="D224" s="273"/>
      <c r="E224" s="140">
        <f>IF(A224="",0,VLOOKUP(A224,'Database Lab+Equip'!$F:$I,3,FALSE))</f>
        <v>0</v>
      </c>
      <c r="F224" s="140">
        <f>IF(A224="",0,VLOOKUP(A224,'Database Lab+Equip'!$F:$I,4,FALSE))</f>
        <v>0</v>
      </c>
      <c r="G224" s="140">
        <f t="shared" si="21"/>
        <v>0</v>
      </c>
      <c r="H224" s="140">
        <f t="shared" si="22"/>
        <v>0</v>
      </c>
      <c r="I224" s="140">
        <f t="shared" si="23"/>
        <v>0</v>
      </c>
      <c r="J224" s="152" t="s">
        <v>108</v>
      </c>
      <c r="K224" s="153" t="s">
        <v>109</v>
      </c>
      <c r="L224" s="31"/>
      <c r="M224" s="125">
        <f>SUM(I217:I224)-SUM(G217:G224)</f>
        <v>0</v>
      </c>
    </row>
    <row r="225" spans="1:13" s="132" customFormat="1" ht="12" customHeight="1" x14ac:dyDescent="0.3">
      <c r="A225" s="72"/>
      <c r="B225" s="143"/>
      <c r="C225" s="130"/>
      <c r="D225" s="265"/>
      <c r="E225" s="122"/>
      <c r="F225" s="122"/>
      <c r="G225" s="21">
        <f>SUM(G217:G224)</f>
        <v>0</v>
      </c>
      <c r="H225" s="21">
        <f>SUM(H217:H224)</f>
        <v>0</v>
      </c>
      <c r="I225" s="21">
        <f>SUM(I217:I224)</f>
        <v>0</v>
      </c>
      <c r="J225" s="21">
        <f>G225</f>
        <v>0</v>
      </c>
      <c r="K225" s="34">
        <f>I225</f>
        <v>0</v>
      </c>
      <c r="L225" s="154">
        <f>IF(J225=0,0,(K225-J225)/J225)</f>
        <v>0</v>
      </c>
      <c r="M225" s="187">
        <f>M213+M224</f>
        <v>0</v>
      </c>
    </row>
    <row r="226" spans="1:13" s="31" customFormat="1" ht="13.8" x14ac:dyDescent="0.3">
      <c r="A226" s="110"/>
      <c r="B226" s="115"/>
      <c r="C226" s="116"/>
      <c r="D226" s="274"/>
      <c r="E226" s="117"/>
      <c r="F226" s="117"/>
      <c r="G226" s="118"/>
      <c r="H226" s="110"/>
      <c r="I226" s="161"/>
      <c r="J226" s="162">
        <f>J214+J225</f>
        <v>0</v>
      </c>
      <c r="K226" s="162">
        <f>K214+K225</f>
        <v>0</v>
      </c>
      <c r="L226" s="119">
        <f>IF(J226=0,0,(K226-J226)/K226)</f>
        <v>0</v>
      </c>
      <c r="M226" s="173"/>
    </row>
    <row r="227" spans="1:13" s="31" customFormat="1" ht="13.8" x14ac:dyDescent="0.3">
      <c r="A227" s="112"/>
      <c r="B227" s="223"/>
      <c r="C227" s="214"/>
      <c r="D227" s="275"/>
      <c r="E227" s="215"/>
      <c r="F227" s="215"/>
      <c r="G227" s="216"/>
      <c r="H227" s="112"/>
      <c r="I227" s="217"/>
      <c r="J227" s="218"/>
      <c r="K227" s="218"/>
      <c r="L227" s="224"/>
      <c r="M227" s="213"/>
    </row>
    <row r="228" spans="1:13" ht="15.6" x14ac:dyDescent="0.3">
      <c r="B228" s="241" t="s">
        <v>173</v>
      </c>
      <c r="C228" s="42"/>
      <c r="D228" s="42"/>
      <c r="E228" s="42"/>
      <c r="F228" s="129"/>
      <c r="H228" s="132"/>
      <c r="I228" s="132"/>
      <c r="L228" s="221" t="s">
        <v>85</v>
      </c>
      <c r="M228" s="222"/>
    </row>
    <row r="229" spans="1:13" s="132" customFormat="1" ht="12" customHeight="1" x14ac:dyDescent="0.3">
      <c r="A229" s="72"/>
      <c r="B229" s="24" t="s">
        <v>135</v>
      </c>
      <c r="C229" s="22"/>
      <c r="D229" s="266" t="s">
        <v>87</v>
      </c>
      <c r="E229" s="23"/>
      <c r="F229" s="133"/>
      <c r="H229" s="14"/>
      <c r="I229" s="14"/>
      <c r="J229" s="14"/>
      <c r="K229" s="14"/>
      <c r="L229" s="219" t="s">
        <v>88</v>
      </c>
      <c r="M229" s="220"/>
    </row>
    <row r="230" spans="1:13" s="132" customFormat="1" ht="12" customHeight="1" x14ac:dyDescent="0.3">
      <c r="A230" s="72"/>
      <c r="B230" s="24" t="s">
        <v>141</v>
      </c>
      <c r="C230" s="25"/>
      <c r="D230" s="266" t="s">
        <v>89</v>
      </c>
      <c r="E230" s="23"/>
      <c r="K230" s="14"/>
      <c r="L230" s="126" t="s">
        <v>90</v>
      </c>
      <c r="M230" s="127"/>
    </row>
    <row r="231" spans="1:13" s="132" customFormat="1" ht="12" customHeight="1" x14ac:dyDescent="0.3">
      <c r="A231" s="72"/>
      <c r="B231" s="24" t="s">
        <v>142</v>
      </c>
      <c r="C231" s="27" t="str">
        <f>IF(C229="","",C229/E231+C230)</f>
        <v/>
      </c>
      <c r="D231" s="266" t="s">
        <v>91</v>
      </c>
      <c r="E231" s="23"/>
      <c r="I231" s="26"/>
      <c r="J231" s="26"/>
      <c r="K231" s="14"/>
      <c r="L231" s="126" t="s">
        <v>92</v>
      </c>
      <c r="M231" s="127"/>
    </row>
    <row r="232" spans="1:13" s="132" customFormat="1" ht="12" customHeight="1" x14ac:dyDescent="0.3">
      <c r="A232" s="72"/>
      <c r="B232" s="59" t="s">
        <v>143</v>
      </c>
      <c r="C232" s="260"/>
      <c r="D232" s="266" t="s">
        <v>25</v>
      </c>
      <c r="E232" s="128">
        <f>SUM(C237:C241)</f>
        <v>0</v>
      </c>
      <c r="I232" s="26"/>
      <c r="J232" s="26"/>
      <c r="K232" s="14"/>
      <c r="L232" s="93" t="s">
        <v>94</v>
      </c>
      <c r="M232" s="94"/>
    </row>
    <row r="233" spans="1:13" s="132" customFormat="1" ht="12" customHeight="1" x14ac:dyDescent="0.3">
      <c r="A233" s="72"/>
      <c r="B233" s="59" t="s">
        <v>144</v>
      </c>
      <c r="C233" s="25"/>
      <c r="D233" s="266" t="s">
        <v>44</v>
      </c>
      <c r="E233" s="244">
        <f>IF(E232=0,0,(C231/C232)/C233)</f>
        <v>0</v>
      </c>
      <c r="I233" s="26"/>
      <c r="J233" s="26"/>
      <c r="K233" s="14"/>
      <c r="L233" s="57" t="s">
        <v>70</v>
      </c>
      <c r="M233" s="58">
        <f>$M$9</f>
        <v>0.05</v>
      </c>
    </row>
    <row r="234" spans="1:13" s="132" customFormat="1" ht="12" customHeight="1" x14ac:dyDescent="0.3">
      <c r="A234" s="72"/>
      <c r="B234" s="28"/>
      <c r="C234" s="122"/>
      <c r="D234" s="267"/>
      <c r="E234" s="211"/>
      <c r="I234" s="26"/>
      <c r="J234" s="26"/>
      <c r="K234" s="14"/>
      <c r="L234" s="57" t="s">
        <v>80</v>
      </c>
      <c r="M234" s="58">
        <f>$M$10</f>
        <v>0.05</v>
      </c>
    </row>
    <row r="235" spans="1:13" s="132" customFormat="1" ht="12" customHeight="1" x14ac:dyDescent="0.3">
      <c r="A235" s="72"/>
      <c r="B235" s="28"/>
      <c r="C235" s="28"/>
      <c r="D235" s="43"/>
      <c r="H235" s="29"/>
      <c r="I235" s="29"/>
      <c r="J235" s="29"/>
      <c r="K235" s="29"/>
      <c r="M235" s="71"/>
    </row>
    <row r="236" spans="1:13" s="132" customFormat="1" ht="27.6" x14ac:dyDescent="0.3">
      <c r="A236" s="246" t="s">
        <v>145</v>
      </c>
      <c r="B236" s="246" t="s">
        <v>70</v>
      </c>
      <c r="C236" s="48" t="s">
        <v>47</v>
      </c>
      <c r="D236" s="135" t="s">
        <v>97</v>
      </c>
      <c r="E236" s="48" t="s">
        <v>98</v>
      </c>
      <c r="F236" s="48" t="s">
        <v>99</v>
      </c>
      <c r="G236" s="48" t="s">
        <v>22</v>
      </c>
      <c r="H236" s="48" t="s">
        <v>23</v>
      </c>
      <c r="I236" s="135" t="s">
        <v>100</v>
      </c>
      <c r="J236" s="136"/>
      <c r="K236" s="52"/>
      <c r="L236" s="48" t="s">
        <v>101</v>
      </c>
      <c r="M236" s="48" t="s">
        <v>0</v>
      </c>
    </row>
    <row r="237" spans="1:13" s="132" customFormat="1" ht="12" customHeight="1" x14ac:dyDescent="0.3">
      <c r="A237" s="137"/>
      <c r="B237" s="71" t="str">
        <f>IF(A237="","",VLOOKUP(A237,'Database Lab+Equip'!$A:$D,2,FALSE))</f>
        <v/>
      </c>
      <c r="C237" s="139"/>
      <c r="D237" s="268"/>
      <c r="E237" s="140">
        <f>IF(A237="",0,VLOOKUP(A237,'Database Lab+Equip'!$A:$D,3,FALSE))</f>
        <v>0</v>
      </c>
      <c r="F237" s="140">
        <f>IF(A237="",0,VLOOKUP(A237,'Database Lab+Equip'!$A:$D,4,FALSE))</f>
        <v>0</v>
      </c>
      <c r="G237" s="140">
        <f>IF(A237="",0,C237*D237*E237*E$233)</f>
        <v>0</v>
      </c>
      <c r="H237" s="140">
        <f>IF(A237="",0,C237*D237*F237*E$233)</f>
        <v>0</v>
      </c>
      <c r="I237" s="140">
        <f>(H237*$M$233)+H237</f>
        <v>0</v>
      </c>
      <c r="J237" s="154"/>
      <c r="K237" s="26"/>
      <c r="M237" s="84"/>
    </row>
    <row r="238" spans="1:13" s="132" customFormat="1" ht="12" customHeight="1" x14ac:dyDescent="0.3">
      <c r="A238" s="137"/>
      <c r="B238" s="71" t="str">
        <f>IF(A238="","",VLOOKUP(A238,'Database Lab+Equip'!$A:$D,2,FALSE))</f>
        <v/>
      </c>
      <c r="C238" s="142"/>
      <c r="D238" s="269"/>
      <c r="E238" s="140">
        <f>IF(A238="",0,VLOOKUP(A238,'Database Lab+Equip'!$A:$D,3,FALSE))</f>
        <v>0</v>
      </c>
      <c r="F238" s="140">
        <f>IF(A238="",0,VLOOKUP(A238,'Database Lab+Equip'!$A:$D,4,FALSE))</f>
        <v>0</v>
      </c>
      <c r="G238" s="140">
        <f>IF(A238="",0,C238*D238*E238*E$233)</f>
        <v>0</v>
      </c>
      <c r="H238" s="140">
        <f>IF(A238="",0,C238*D238*F238*E$233)</f>
        <v>0</v>
      </c>
      <c r="I238" s="140">
        <f>(H238*$M$233)+H238</f>
        <v>0</v>
      </c>
      <c r="J238" s="154"/>
      <c r="K238" s="26"/>
      <c r="M238" s="122"/>
    </row>
    <row r="239" spans="1:13" s="132" customFormat="1" ht="12" customHeight="1" x14ac:dyDescent="0.3">
      <c r="A239" s="137"/>
      <c r="B239" s="71" t="str">
        <f>IF(A239="","",VLOOKUP(A239,'Database Lab+Equip'!$A:$D,2,FALSE))</f>
        <v/>
      </c>
      <c r="C239" s="142"/>
      <c r="D239" s="269"/>
      <c r="E239" s="140">
        <f>IF(A239="",0,VLOOKUP(A239,'Database Lab+Equip'!$A:$D,3,FALSE))</f>
        <v>0</v>
      </c>
      <c r="F239" s="140">
        <f>IF(A239="",0,VLOOKUP(A239,'Database Lab+Equip'!$A:$D,4,FALSE))</f>
        <v>0</v>
      </c>
      <c r="G239" s="140">
        <f>IF(A239="",0,C239*D239*E239*E$233)</f>
        <v>0</v>
      </c>
      <c r="H239" s="140">
        <f>IF(A239="",0,C239*D239*F239*E$233)</f>
        <v>0</v>
      </c>
      <c r="I239" s="140">
        <f>(H239*$M$233)+H239</f>
        <v>0</v>
      </c>
      <c r="J239" s="154"/>
      <c r="K239" s="26"/>
      <c r="M239" s="122"/>
    </row>
    <row r="240" spans="1:13" s="132" customFormat="1" ht="12" customHeight="1" x14ac:dyDescent="0.3">
      <c r="A240" s="137"/>
      <c r="B240" s="71" t="str">
        <f>IF(A240="","",VLOOKUP(A240,'Database Lab+Equip'!$A:$D,2,FALSE))</f>
        <v/>
      </c>
      <c r="C240" s="142"/>
      <c r="D240" s="269"/>
      <c r="E240" s="140">
        <f>IF(A240="",0,VLOOKUP(A240,'Database Lab+Equip'!$A:$D,3,FALSE))</f>
        <v>0</v>
      </c>
      <c r="F240" s="140">
        <f>IF(A240="",0,VLOOKUP(A240,'Database Lab+Equip'!$A:$D,4,FALSE))</f>
        <v>0</v>
      </c>
      <c r="G240" s="140">
        <f>IF(A240="",0,C240*D240*E240*E$233)</f>
        <v>0</v>
      </c>
      <c r="H240" s="140">
        <f>IF(A240="",0,C240*D240*F240*E$233)</f>
        <v>0</v>
      </c>
      <c r="I240" s="140">
        <f>(H240*$M$233)+H240</f>
        <v>0</v>
      </c>
      <c r="J240" s="154"/>
      <c r="K240" s="26"/>
      <c r="M240" s="122"/>
    </row>
    <row r="241" spans="1:13" s="132" customFormat="1" ht="12" customHeight="1" x14ac:dyDescent="0.3">
      <c r="A241" s="137"/>
      <c r="B241" s="71" t="str">
        <f>IF(A241="","",VLOOKUP(A241,'Database Lab+Equip'!$A:$D,2,FALSE))</f>
        <v/>
      </c>
      <c r="C241" s="142"/>
      <c r="D241" s="269"/>
      <c r="E241" s="140">
        <f>IF(A241="",0,VLOOKUP(A241,'Database Lab+Equip'!$A:$D,3,FALSE))</f>
        <v>0</v>
      </c>
      <c r="F241" s="140">
        <f>IF(A241="",0,VLOOKUP(A241,'Database Lab+Equip'!$A:$D,4,FALSE))</f>
        <v>0</v>
      </c>
      <c r="G241" s="140">
        <f>IF(A241="",0,C241*D241*E241*E$233)</f>
        <v>0</v>
      </c>
      <c r="H241" s="140">
        <f>IF(A241="",0,C241*D241*F241*E$233)</f>
        <v>0</v>
      </c>
      <c r="I241" s="140">
        <f>(H241*$M$233)+H241</f>
        <v>0</v>
      </c>
      <c r="J241" s="152" t="s">
        <v>108</v>
      </c>
      <c r="K241" s="153" t="s">
        <v>109</v>
      </c>
      <c r="L241" s="31"/>
      <c r="M241" s="123">
        <f>SUM(I237:I241)-SUM(G237:G241)</f>
        <v>0</v>
      </c>
    </row>
    <row r="242" spans="1:13" s="132" customFormat="1" ht="12" customHeight="1" x14ac:dyDescent="0.3">
      <c r="A242" s="35"/>
      <c r="C242" s="140"/>
      <c r="D242" s="270"/>
      <c r="E242" s="140"/>
      <c r="F242" s="140"/>
      <c r="G242" s="21">
        <f>SUM(G237:G241)</f>
        <v>0</v>
      </c>
      <c r="H242" s="21">
        <f>SUM(H237:H241)</f>
        <v>0</v>
      </c>
      <c r="I242" s="21">
        <f>SUM(I237:I241)</f>
        <v>0</v>
      </c>
      <c r="J242" s="21">
        <f>G242</f>
        <v>0</v>
      </c>
      <c r="K242" s="34">
        <f>I242</f>
        <v>0</v>
      </c>
      <c r="L242" s="154">
        <f>IF(J242=0,0,(K242-J242)/J242)</f>
        <v>0</v>
      </c>
      <c r="M242" s="122"/>
    </row>
    <row r="243" spans="1:13" s="132" customFormat="1" ht="12" customHeight="1" x14ac:dyDescent="0.3">
      <c r="A243" s="35"/>
      <c r="B243" s="71"/>
      <c r="C243" s="122"/>
      <c r="D243" s="265"/>
      <c r="E243" s="122"/>
      <c r="F243" s="122"/>
      <c r="G243" s="122"/>
      <c r="H243" s="122"/>
      <c r="I243" s="144"/>
      <c r="J243" s="84"/>
      <c r="K243" s="29"/>
      <c r="L243" s="122"/>
      <c r="M243" s="122"/>
    </row>
    <row r="244" spans="1:13" s="132" customFormat="1" ht="41.4" x14ac:dyDescent="0.3">
      <c r="A244" s="246" t="s">
        <v>96</v>
      </c>
      <c r="B244" s="246" t="s">
        <v>80</v>
      </c>
      <c r="C244" s="48" t="s">
        <v>47</v>
      </c>
      <c r="D244" s="135" t="s">
        <v>110</v>
      </c>
      <c r="E244" s="48" t="s">
        <v>98</v>
      </c>
      <c r="F244" s="48" t="s">
        <v>99</v>
      </c>
      <c r="G244" s="48" t="s">
        <v>22</v>
      </c>
      <c r="H244" s="48" t="s">
        <v>23</v>
      </c>
      <c r="I244" s="135" t="s">
        <v>100</v>
      </c>
      <c r="J244" s="145"/>
      <c r="K244" s="48"/>
      <c r="L244" s="124"/>
      <c r="M244" s="124"/>
    </row>
    <row r="245" spans="1:13" s="132" customFormat="1" ht="12" customHeight="1" x14ac:dyDescent="0.3">
      <c r="A245" s="148"/>
      <c r="B245" s="71" t="str">
        <f>IF(A245="","",VLOOKUP(A245,'Database Lab+Equip'!$F:$I,2,FALSE))</f>
        <v/>
      </c>
      <c r="C245" s="139"/>
      <c r="D245" s="271"/>
      <c r="E245" s="140">
        <f>IF(A245="",0,VLOOKUP(A245,'Database Lab+Equip'!$F:$I,3,FALSE))</f>
        <v>0</v>
      </c>
      <c r="F245" s="140">
        <f>IF(A245="",0,VLOOKUP(A245,'Database Lab+Equip'!$F:$I,4,FALSE))</f>
        <v>0</v>
      </c>
      <c r="G245" s="140">
        <f>IF(A245="",0,C245*D245*E245*E$233)</f>
        <v>0</v>
      </c>
      <c r="H245" s="140">
        <f>IF(A245="",0,C245*D245*F245*E$233)</f>
        <v>0</v>
      </c>
      <c r="I245" s="140">
        <f>(H245*$M$234)+H245</f>
        <v>0</v>
      </c>
      <c r="J245" s="84"/>
      <c r="K245" s="29"/>
      <c r="L245" s="122"/>
      <c r="M245" s="84"/>
    </row>
    <row r="246" spans="1:13" s="132" customFormat="1" ht="12" customHeight="1" x14ac:dyDescent="0.3">
      <c r="A246" s="148"/>
      <c r="B246" s="71" t="str">
        <f>IF(A246="","",VLOOKUP(A246,'Database Lab+Equip'!$F:$I,2,FALSE))</f>
        <v/>
      </c>
      <c r="C246" s="142"/>
      <c r="D246" s="272"/>
      <c r="E246" s="140">
        <f>IF(A246="",0,VLOOKUP(A246,'Database Lab+Equip'!$F:$I,3,FALSE))</f>
        <v>0</v>
      </c>
      <c r="F246" s="140">
        <f>IF(A246="",0,VLOOKUP(A246,'Database Lab+Equip'!$F:$I,4,FALSE))</f>
        <v>0</v>
      </c>
      <c r="G246" s="140">
        <f t="shared" ref="G246:G252" si="24">IF(A246="",0,C246*D246*E246*E$233)</f>
        <v>0</v>
      </c>
      <c r="H246" s="140">
        <f t="shared" ref="H246:H252" si="25">IF(A246="",0,C246*D246*F246*E$233)</f>
        <v>0</v>
      </c>
      <c r="I246" s="140">
        <f t="shared" ref="I246:I252" si="26">(H246*$M$234)+H246</f>
        <v>0</v>
      </c>
      <c r="J246" s="122"/>
      <c r="K246" s="29"/>
      <c r="L246" s="122"/>
      <c r="M246" s="122"/>
    </row>
    <row r="247" spans="1:13" s="132" customFormat="1" ht="12" customHeight="1" x14ac:dyDescent="0.3">
      <c r="A247" s="148"/>
      <c r="B247" s="71" t="str">
        <f>IF(A247="","",VLOOKUP(A247,'Database Lab+Equip'!$F:$I,2,FALSE))</f>
        <v/>
      </c>
      <c r="C247" s="142"/>
      <c r="D247" s="272"/>
      <c r="E247" s="140">
        <f>IF(A247="",0,VLOOKUP(A247,'Database Lab+Equip'!$F:$I,3,FALSE))</f>
        <v>0</v>
      </c>
      <c r="F247" s="140">
        <f>IF(A247="",0,VLOOKUP(A247,'Database Lab+Equip'!$F:$I,4,FALSE))</f>
        <v>0</v>
      </c>
      <c r="G247" s="140">
        <f t="shared" si="24"/>
        <v>0</v>
      </c>
      <c r="H247" s="140">
        <f t="shared" si="25"/>
        <v>0</v>
      </c>
      <c r="I247" s="140">
        <f t="shared" si="26"/>
        <v>0</v>
      </c>
      <c r="J247" s="84"/>
      <c r="K247" s="29"/>
      <c r="L247" s="122"/>
      <c r="M247" s="122"/>
    </row>
    <row r="248" spans="1:13" s="132" customFormat="1" ht="12" customHeight="1" x14ac:dyDescent="0.3">
      <c r="A248" s="148"/>
      <c r="B248" s="71" t="str">
        <f>IF(A248="","",VLOOKUP(A248,'Database Lab+Equip'!$F:$I,2,FALSE))</f>
        <v/>
      </c>
      <c r="C248" s="142"/>
      <c r="D248" s="272"/>
      <c r="E248" s="140">
        <f>IF(A248="",0,VLOOKUP(A248,'Database Lab+Equip'!$F:$I,3,FALSE))</f>
        <v>0</v>
      </c>
      <c r="F248" s="140">
        <f>IF(A248="",0,VLOOKUP(A248,'Database Lab+Equip'!$F:$I,4,FALSE))</f>
        <v>0</v>
      </c>
      <c r="G248" s="140">
        <f t="shared" si="24"/>
        <v>0</v>
      </c>
      <c r="H248" s="140">
        <f t="shared" si="25"/>
        <v>0</v>
      </c>
      <c r="I248" s="140">
        <f t="shared" si="26"/>
        <v>0</v>
      </c>
      <c r="J248" s="84"/>
      <c r="K248" s="29"/>
      <c r="L248" s="122"/>
      <c r="M248" s="122"/>
    </row>
    <row r="249" spans="1:13" s="132" customFormat="1" ht="12" customHeight="1" x14ac:dyDescent="0.3">
      <c r="A249" s="148"/>
      <c r="B249" s="71" t="str">
        <f>IF(A249="","",VLOOKUP(A249,'Database Lab+Equip'!$F:$I,2,FALSE))</f>
        <v/>
      </c>
      <c r="C249" s="142"/>
      <c r="D249" s="272"/>
      <c r="E249" s="140">
        <f>IF(A249="",0,VLOOKUP(A249,'Database Lab+Equip'!$F:$I,3,FALSE))</f>
        <v>0</v>
      </c>
      <c r="F249" s="140">
        <f>IF(A249="",0,VLOOKUP(A249,'Database Lab+Equip'!$F:$I,4,FALSE))</f>
        <v>0</v>
      </c>
      <c r="G249" s="140">
        <f t="shared" si="24"/>
        <v>0</v>
      </c>
      <c r="H249" s="140">
        <f t="shared" si="25"/>
        <v>0</v>
      </c>
      <c r="I249" s="140">
        <f t="shared" si="26"/>
        <v>0</v>
      </c>
      <c r="J249" s="84"/>
      <c r="K249" s="29"/>
      <c r="L249" s="122"/>
      <c r="M249" s="122"/>
    </row>
    <row r="250" spans="1:13" s="132" customFormat="1" ht="12" customHeight="1" x14ac:dyDescent="0.3">
      <c r="A250" s="148"/>
      <c r="B250" s="71" t="str">
        <f>IF(A250="","",VLOOKUP(A250,'Database Lab+Equip'!$F:$I,2,FALSE))</f>
        <v/>
      </c>
      <c r="C250" s="142"/>
      <c r="D250" s="272"/>
      <c r="E250" s="140">
        <f>IF(A250="",0,VLOOKUP(A250,'Database Lab+Equip'!$F:$I,3,FALSE))</f>
        <v>0</v>
      </c>
      <c r="F250" s="140">
        <f>IF(A250="",0,VLOOKUP(A250,'Database Lab+Equip'!$F:$I,4,FALSE))</f>
        <v>0</v>
      </c>
      <c r="G250" s="140">
        <f t="shared" si="24"/>
        <v>0</v>
      </c>
      <c r="H250" s="140">
        <f t="shared" si="25"/>
        <v>0</v>
      </c>
      <c r="I250" s="140">
        <f t="shared" si="26"/>
        <v>0</v>
      </c>
      <c r="J250" s="84"/>
      <c r="K250" s="29"/>
      <c r="L250" s="122"/>
      <c r="M250" s="122"/>
    </row>
    <row r="251" spans="1:13" s="132" customFormat="1" ht="12" customHeight="1" x14ac:dyDescent="0.3">
      <c r="A251" s="148"/>
      <c r="B251" s="71" t="str">
        <f>IF(A251="","",VLOOKUP(A251,'Database Lab+Equip'!$F:$I,2,FALSE))</f>
        <v/>
      </c>
      <c r="C251" s="142"/>
      <c r="D251" s="272"/>
      <c r="E251" s="140">
        <f>IF(A251="",0,VLOOKUP(A251,'Database Lab+Equip'!$F:$I,3,FALSE))</f>
        <v>0</v>
      </c>
      <c r="F251" s="140">
        <f>IF(A251="",0,VLOOKUP(A251,'Database Lab+Equip'!$F:$I,4,FALSE))</f>
        <v>0</v>
      </c>
      <c r="G251" s="140">
        <f t="shared" si="24"/>
        <v>0</v>
      </c>
      <c r="H251" s="140">
        <f t="shared" si="25"/>
        <v>0</v>
      </c>
      <c r="I251" s="140">
        <f t="shared" si="26"/>
        <v>0</v>
      </c>
      <c r="J251" s="84"/>
      <c r="K251" s="29"/>
      <c r="L251" s="122"/>
      <c r="M251" s="122"/>
    </row>
    <row r="252" spans="1:13" s="132" customFormat="1" ht="12" customHeight="1" x14ac:dyDescent="0.3">
      <c r="A252" s="148"/>
      <c r="B252" s="71" t="str">
        <f>IF(A252="","",VLOOKUP(A252,'Database Lab+Equip'!$F:$I,2,FALSE))</f>
        <v/>
      </c>
      <c r="C252" s="150"/>
      <c r="D252" s="273"/>
      <c r="E252" s="140">
        <f>IF(A252="",0,VLOOKUP(A252,'Database Lab+Equip'!$F:$I,3,FALSE))</f>
        <v>0</v>
      </c>
      <c r="F252" s="140">
        <f>IF(A252="",0,VLOOKUP(A252,'Database Lab+Equip'!$F:$I,4,FALSE))</f>
        <v>0</v>
      </c>
      <c r="G252" s="140">
        <f t="shared" si="24"/>
        <v>0</v>
      </c>
      <c r="H252" s="140">
        <f t="shared" si="25"/>
        <v>0</v>
      </c>
      <c r="I252" s="140">
        <f t="shared" si="26"/>
        <v>0</v>
      </c>
      <c r="J252" s="152" t="s">
        <v>108</v>
      </c>
      <c r="K252" s="153" t="s">
        <v>109</v>
      </c>
      <c r="L252" s="31"/>
      <c r="M252" s="125">
        <f>SUM(I245:I252)-SUM(G245:G252)</f>
        <v>0</v>
      </c>
    </row>
    <row r="253" spans="1:13" s="132" customFormat="1" ht="12" customHeight="1" x14ac:dyDescent="0.3">
      <c r="A253" s="72"/>
      <c r="B253" s="143"/>
      <c r="C253" s="130"/>
      <c r="D253" s="265"/>
      <c r="E253" s="122"/>
      <c r="F253" s="122"/>
      <c r="G253" s="21">
        <f>SUM(G245:G252)</f>
        <v>0</v>
      </c>
      <c r="H253" s="21">
        <f>SUM(H245:H252)</f>
        <v>0</v>
      </c>
      <c r="I253" s="21">
        <f>SUM(I245:I252)</f>
        <v>0</v>
      </c>
      <c r="J253" s="21">
        <f>G253</f>
        <v>0</v>
      </c>
      <c r="K253" s="34">
        <f>I253</f>
        <v>0</v>
      </c>
      <c r="L253" s="154">
        <f>IF(J253=0,0,(K253-J253)/J253)</f>
        <v>0</v>
      </c>
      <c r="M253" s="187">
        <f>M241+M252</f>
        <v>0</v>
      </c>
    </row>
    <row r="254" spans="1:13" s="31" customFormat="1" ht="13.8" x14ac:dyDescent="0.3">
      <c r="A254" s="110"/>
      <c r="B254" s="115"/>
      <c r="C254" s="116"/>
      <c r="D254" s="274"/>
      <c r="E254" s="117"/>
      <c r="F254" s="117"/>
      <c r="G254" s="118"/>
      <c r="H254" s="110"/>
      <c r="I254" s="161"/>
      <c r="J254" s="162">
        <f>J242+J253</f>
        <v>0</v>
      </c>
      <c r="K254" s="162">
        <f>K242+K253</f>
        <v>0</v>
      </c>
      <c r="L254" s="119">
        <f>IF(J254=0,0,(K254-J254)/K254)</f>
        <v>0</v>
      </c>
      <c r="M254" s="173"/>
    </row>
    <row r="255" spans="1:13" s="31" customFormat="1" ht="13.8" x14ac:dyDescent="0.3">
      <c r="A255" s="112"/>
      <c r="B255" s="223"/>
      <c r="C255" s="214"/>
      <c r="D255" s="275"/>
      <c r="E255" s="215"/>
      <c r="F255" s="215"/>
      <c r="G255" s="216"/>
      <c r="H255" s="112"/>
      <c r="I255" s="217"/>
      <c r="J255" s="218"/>
      <c r="K255" s="218"/>
      <c r="L255" s="224"/>
      <c r="M255" s="213"/>
    </row>
    <row r="256" spans="1:13" ht="15.6" x14ac:dyDescent="0.3">
      <c r="B256" s="241" t="s">
        <v>174</v>
      </c>
      <c r="C256" s="42"/>
      <c r="D256" s="42"/>
      <c r="E256" s="42"/>
      <c r="F256" s="129"/>
      <c r="H256" s="132"/>
      <c r="I256" s="132"/>
      <c r="L256" s="221" t="s">
        <v>85</v>
      </c>
      <c r="M256" s="222"/>
    </row>
    <row r="257" spans="1:13" s="132" customFormat="1" ht="12" customHeight="1" x14ac:dyDescent="0.3">
      <c r="A257" s="72"/>
      <c r="B257" s="24" t="s">
        <v>135</v>
      </c>
      <c r="C257" s="22"/>
      <c r="D257" s="266" t="s">
        <v>87</v>
      </c>
      <c r="E257" s="23"/>
      <c r="F257" s="133"/>
      <c r="H257" s="14"/>
      <c r="I257" s="14"/>
      <c r="J257" s="14"/>
      <c r="K257" s="14"/>
      <c r="L257" s="219" t="s">
        <v>88</v>
      </c>
      <c r="M257" s="220"/>
    </row>
    <row r="258" spans="1:13" s="132" customFormat="1" ht="12" customHeight="1" x14ac:dyDescent="0.3">
      <c r="A258" s="72"/>
      <c r="B258" s="24" t="s">
        <v>141</v>
      </c>
      <c r="C258" s="25"/>
      <c r="D258" s="266" t="s">
        <v>89</v>
      </c>
      <c r="E258" s="23"/>
      <c r="K258" s="14"/>
      <c r="L258" s="126" t="s">
        <v>90</v>
      </c>
      <c r="M258" s="127"/>
    </row>
    <row r="259" spans="1:13" s="132" customFormat="1" ht="12" customHeight="1" x14ac:dyDescent="0.3">
      <c r="A259" s="72"/>
      <c r="B259" s="24" t="s">
        <v>142</v>
      </c>
      <c r="C259" s="27" t="str">
        <f>IF(C257="","",C257/E259+C258)</f>
        <v/>
      </c>
      <c r="D259" s="266" t="s">
        <v>91</v>
      </c>
      <c r="E259" s="23"/>
      <c r="I259" s="26"/>
      <c r="J259" s="26"/>
      <c r="K259" s="14"/>
      <c r="L259" s="126" t="s">
        <v>92</v>
      </c>
      <c r="M259" s="127"/>
    </row>
    <row r="260" spans="1:13" s="132" customFormat="1" ht="12" customHeight="1" x14ac:dyDescent="0.3">
      <c r="A260" s="72"/>
      <c r="B260" s="59" t="s">
        <v>143</v>
      </c>
      <c r="C260" s="260"/>
      <c r="D260" s="266" t="s">
        <v>25</v>
      </c>
      <c r="E260" s="128">
        <f>SUM(C265:C269)</f>
        <v>0</v>
      </c>
      <c r="I260" s="26"/>
      <c r="J260" s="26"/>
      <c r="K260" s="14"/>
      <c r="L260" s="93" t="s">
        <v>94</v>
      </c>
      <c r="M260" s="94"/>
    </row>
    <row r="261" spans="1:13" s="132" customFormat="1" ht="12" customHeight="1" x14ac:dyDescent="0.3">
      <c r="A261" s="72"/>
      <c r="B261" s="59" t="s">
        <v>144</v>
      </c>
      <c r="C261" s="25"/>
      <c r="D261" s="266" t="s">
        <v>44</v>
      </c>
      <c r="E261" s="244">
        <f>IF(E260=0,0,(C259/C260)/C261)</f>
        <v>0</v>
      </c>
      <c r="I261" s="26"/>
      <c r="J261" s="26"/>
      <c r="K261" s="14"/>
      <c r="L261" s="57" t="s">
        <v>70</v>
      </c>
      <c r="M261" s="58">
        <f>$M$9</f>
        <v>0.05</v>
      </c>
    </row>
    <row r="262" spans="1:13" s="132" customFormat="1" ht="12" customHeight="1" x14ac:dyDescent="0.3">
      <c r="A262" s="72"/>
      <c r="B262" s="28"/>
      <c r="C262" s="122"/>
      <c r="D262" s="267"/>
      <c r="E262" s="211"/>
      <c r="I262" s="26"/>
      <c r="J262" s="26"/>
      <c r="K262" s="14"/>
      <c r="L262" s="57" t="s">
        <v>80</v>
      </c>
      <c r="M262" s="58">
        <f>$M$10</f>
        <v>0.05</v>
      </c>
    </row>
    <row r="263" spans="1:13" s="132" customFormat="1" ht="12" customHeight="1" x14ac:dyDescent="0.3">
      <c r="A263" s="72"/>
      <c r="B263" s="28"/>
      <c r="C263" s="28"/>
      <c r="D263" s="43"/>
      <c r="H263" s="29"/>
      <c r="I263" s="29"/>
      <c r="J263" s="29"/>
      <c r="K263" s="29"/>
      <c r="M263" s="71"/>
    </row>
    <row r="264" spans="1:13" s="132" customFormat="1" ht="27.6" x14ac:dyDescent="0.3">
      <c r="A264" s="246" t="s">
        <v>145</v>
      </c>
      <c r="B264" s="246" t="s">
        <v>70</v>
      </c>
      <c r="C264" s="48" t="s">
        <v>47</v>
      </c>
      <c r="D264" s="135" t="s">
        <v>97</v>
      </c>
      <c r="E264" s="48" t="s">
        <v>98</v>
      </c>
      <c r="F264" s="48" t="s">
        <v>99</v>
      </c>
      <c r="G264" s="48" t="s">
        <v>22</v>
      </c>
      <c r="H264" s="48" t="s">
        <v>23</v>
      </c>
      <c r="I264" s="135" t="s">
        <v>100</v>
      </c>
      <c r="J264" s="136"/>
      <c r="K264" s="52"/>
      <c r="L264" s="48" t="s">
        <v>101</v>
      </c>
      <c r="M264" s="48" t="s">
        <v>0</v>
      </c>
    </row>
    <row r="265" spans="1:13" s="132" customFormat="1" ht="12" customHeight="1" x14ac:dyDescent="0.3">
      <c r="A265" s="137"/>
      <c r="B265" s="71" t="str">
        <f>IF(A265="","",VLOOKUP(A265,'Database Lab+Equip'!$A:$D,2,FALSE))</f>
        <v/>
      </c>
      <c r="C265" s="139"/>
      <c r="D265" s="268"/>
      <c r="E265" s="140">
        <f>IF(A265="",0,VLOOKUP(A265,'Database Lab+Equip'!$A:$D,3,FALSE))</f>
        <v>0</v>
      </c>
      <c r="F265" s="140">
        <f>IF(A265="",0,VLOOKUP(A265,'Database Lab+Equip'!$A:$D,4,FALSE))</f>
        <v>0</v>
      </c>
      <c r="G265" s="140">
        <f>IF(A265="",0,C265*D265*E265*E$261)</f>
        <v>0</v>
      </c>
      <c r="H265" s="140">
        <f>IF(A265="",0,C265*D265*F265*E$261)</f>
        <v>0</v>
      </c>
      <c r="I265" s="140">
        <f>(H265*$M$261)+H265</f>
        <v>0</v>
      </c>
      <c r="J265" s="154"/>
      <c r="K265" s="26"/>
      <c r="M265" s="84"/>
    </row>
    <row r="266" spans="1:13" s="132" customFormat="1" ht="12" customHeight="1" x14ac:dyDescent="0.3">
      <c r="A266" s="137"/>
      <c r="B266" s="71" t="str">
        <f>IF(A266="","",VLOOKUP(A266,'Database Lab+Equip'!$A:$D,2,FALSE))</f>
        <v/>
      </c>
      <c r="C266" s="142"/>
      <c r="D266" s="269"/>
      <c r="E266" s="140">
        <f>IF(A266="",0,VLOOKUP(A266,'Database Lab+Equip'!$A:$D,3,FALSE))</f>
        <v>0</v>
      </c>
      <c r="F266" s="140">
        <f>IF(A266="",0,VLOOKUP(A266,'Database Lab+Equip'!$A:$D,4,FALSE))</f>
        <v>0</v>
      </c>
      <c r="G266" s="140">
        <f>IF(A266="",0,C266*D266*E266*E$261)</f>
        <v>0</v>
      </c>
      <c r="H266" s="140">
        <f>IF(A266="",0,C266*D266*F266*E$261)</f>
        <v>0</v>
      </c>
      <c r="I266" s="140">
        <f>(H266*$M$261)+H266</f>
        <v>0</v>
      </c>
      <c r="J266" s="154"/>
      <c r="K266" s="26"/>
      <c r="M266" s="122"/>
    </row>
    <row r="267" spans="1:13" s="132" customFormat="1" ht="12" customHeight="1" x14ac:dyDescent="0.3">
      <c r="A267" s="137"/>
      <c r="B267" s="71" t="str">
        <f>IF(A267="","",VLOOKUP(A267,'Database Lab+Equip'!$A:$D,2,FALSE))</f>
        <v/>
      </c>
      <c r="C267" s="142"/>
      <c r="D267" s="269"/>
      <c r="E267" s="140">
        <f>IF(A267="",0,VLOOKUP(A267,'Database Lab+Equip'!$A:$D,3,FALSE))</f>
        <v>0</v>
      </c>
      <c r="F267" s="140">
        <f>IF(A267="",0,VLOOKUP(A267,'Database Lab+Equip'!$A:$D,4,FALSE))</f>
        <v>0</v>
      </c>
      <c r="G267" s="140">
        <f>IF(A267="",0,C267*D267*E267*E$261)</f>
        <v>0</v>
      </c>
      <c r="H267" s="140">
        <f>IF(A267="",0,C267*D267*F267*E$261)</f>
        <v>0</v>
      </c>
      <c r="I267" s="140">
        <f>(H267*$M$261)+H267</f>
        <v>0</v>
      </c>
      <c r="J267" s="154"/>
      <c r="K267" s="26"/>
      <c r="M267" s="122"/>
    </row>
    <row r="268" spans="1:13" s="132" customFormat="1" ht="12" customHeight="1" x14ac:dyDescent="0.3">
      <c r="A268" s="137"/>
      <c r="B268" s="71" t="str">
        <f>IF(A268="","",VLOOKUP(A268,'Database Lab+Equip'!$A:$D,2,FALSE))</f>
        <v/>
      </c>
      <c r="C268" s="142"/>
      <c r="D268" s="269"/>
      <c r="E268" s="140">
        <f>IF(A268="",0,VLOOKUP(A268,'Database Lab+Equip'!$A:$D,3,FALSE))</f>
        <v>0</v>
      </c>
      <c r="F268" s="140">
        <f>IF(A268="",0,VLOOKUP(A268,'Database Lab+Equip'!$A:$D,4,FALSE))</f>
        <v>0</v>
      </c>
      <c r="G268" s="140">
        <f>IF(A268="",0,C268*D268*E268*E$261)</f>
        <v>0</v>
      </c>
      <c r="H268" s="140">
        <f>IF(A268="",0,C268*D268*F268*E$261)</f>
        <v>0</v>
      </c>
      <c r="I268" s="140">
        <f>(H268*$M$261)+H268</f>
        <v>0</v>
      </c>
      <c r="J268" s="154"/>
      <c r="K268" s="26"/>
      <c r="M268" s="122"/>
    </row>
    <row r="269" spans="1:13" s="132" customFormat="1" ht="12" customHeight="1" x14ac:dyDescent="0.3">
      <c r="A269" s="137"/>
      <c r="B269" s="71" t="str">
        <f>IF(A269="","",VLOOKUP(A269,'Database Lab+Equip'!$A:$D,2,FALSE))</f>
        <v/>
      </c>
      <c r="C269" s="142"/>
      <c r="D269" s="269"/>
      <c r="E269" s="140">
        <f>IF(A269="",0,VLOOKUP(A269,'Database Lab+Equip'!$A:$D,3,FALSE))</f>
        <v>0</v>
      </c>
      <c r="F269" s="140">
        <f>IF(A269="",0,VLOOKUP(A269,'Database Lab+Equip'!$A:$D,4,FALSE))</f>
        <v>0</v>
      </c>
      <c r="G269" s="140">
        <f>IF(A269="",0,C269*D269*E269*E$261)</f>
        <v>0</v>
      </c>
      <c r="H269" s="140">
        <f>IF(A269="",0,C269*D269*F269*E$261)</f>
        <v>0</v>
      </c>
      <c r="I269" s="140">
        <f>(H269*$M$261)+H269</f>
        <v>0</v>
      </c>
      <c r="J269" s="152" t="s">
        <v>108</v>
      </c>
      <c r="K269" s="153" t="s">
        <v>109</v>
      </c>
      <c r="L269" s="31"/>
      <c r="M269" s="123">
        <f>SUM(I265:I269)-SUM(G265:G269)</f>
        <v>0</v>
      </c>
    </row>
    <row r="270" spans="1:13" s="132" customFormat="1" ht="12" customHeight="1" x14ac:dyDescent="0.3">
      <c r="A270" s="35"/>
      <c r="C270" s="140"/>
      <c r="D270" s="270"/>
      <c r="E270" s="140"/>
      <c r="F270" s="140"/>
      <c r="G270" s="21">
        <f>SUM(G265:G269)</f>
        <v>0</v>
      </c>
      <c r="H270" s="21">
        <f>SUM(H265:H269)</f>
        <v>0</v>
      </c>
      <c r="I270" s="21">
        <f>SUM(I265:I269)</f>
        <v>0</v>
      </c>
      <c r="J270" s="21">
        <f>G270</f>
        <v>0</v>
      </c>
      <c r="K270" s="34">
        <f>I270</f>
        <v>0</v>
      </c>
      <c r="L270" s="154">
        <f>IF(J270=0,0,(K270-J270)/J270)</f>
        <v>0</v>
      </c>
      <c r="M270" s="122"/>
    </row>
    <row r="271" spans="1:13" s="132" customFormat="1" ht="12" customHeight="1" x14ac:dyDescent="0.3">
      <c r="A271" s="35"/>
      <c r="B271" s="71"/>
      <c r="C271" s="122"/>
      <c r="D271" s="265"/>
      <c r="E271" s="122"/>
      <c r="F271" s="122"/>
      <c r="G271" s="122"/>
      <c r="H271" s="122"/>
      <c r="I271" s="144"/>
      <c r="J271" s="84"/>
      <c r="K271" s="29"/>
      <c r="L271" s="122"/>
      <c r="M271" s="122"/>
    </row>
    <row r="272" spans="1:13" s="132" customFormat="1" ht="41.4" x14ac:dyDescent="0.3">
      <c r="A272" s="246" t="s">
        <v>96</v>
      </c>
      <c r="B272" s="246" t="s">
        <v>80</v>
      </c>
      <c r="C272" s="48" t="s">
        <v>47</v>
      </c>
      <c r="D272" s="135" t="s">
        <v>110</v>
      </c>
      <c r="E272" s="48" t="s">
        <v>98</v>
      </c>
      <c r="F272" s="48" t="s">
        <v>99</v>
      </c>
      <c r="G272" s="48" t="s">
        <v>22</v>
      </c>
      <c r="H272" s="48" t="s">
        <v>23</v>
      </c>
      <c r="I272" s="135" t="s">
        <v>100</v>
      </c>
      <c r="J272" s="145"/>
      <c r="K272" s="48"/>
      <c r="L272" s="124"/>
      <c r="M272" s="124"/>
    </row>
    <row r="273" spans="1:13" s="132" customFormat="1" ht="12" customHeight="1" x14ac:dyDescent="0.3">
      <c r="A273" s="148"/>
      <c r="B273" s="71" t="str">
        <f>IF(A273="","",VLOOKUP(A273,'Database Lab+Equip'!$F:$I,2,FALSE))</f>
        <v/>
      </c>
      <c r="C273" s="139"/>
      <c r="D273" s="271"/>
      <c r="E273" s="140">
        <f>IF(A273="",0,VLOOKUP(A273,'Database Lab+Equip'!$F:$I,3,FALSE))</f>
        <v>0</v>
      </c>
      <c r="F273" s="140">
        <f>IF(A273="",0,VLOOKUP(A273,'Database Lab+Equip'!$F:$I,4,FALSE))</f>
        <v>0</v>
      </c>
      <c r="G273" s="140">
        <f>IF(A273="",0,C273*D273*E273*E$261)</f>
        <v>0</v>
      </c>
      <c r="H273" s="140">
        <f>IF(A273="",0,C273*D273*F273*E$261)</f>
        <v>0</v>
      </c>
      <c r="I273" s="140">
        <f>(H273*$M$262)+H273</f>
        <v>0</v>
      </c>
      <c r="J273" s="84"/>
      <c r="K273" s="29"/>
      <c r="L273" s="122"/>
      <c r="M273" s="84"/>
    </row>
    <row r="274" spans="1:13" s="132" customFormat="1" ht="12" customHeight="1" x14ac:dyDescent="0.3">
      <c r="A274" s="148"/>
      <c r="B274" s="71" t="str">
        <f>IF(A274="","",VLOOKUP(A274,'Database Lab+Equip'!$F:$I,2,FALSE))</f>
        <v/>
      </c>
      <c r="C274" s="142"/>
      <c r="D274" s="272"/>
      <c r="E274" s="140">
        <f>IF(A274="",0,VLOOKUP(A274,'Database Lab+Equip'!$F:$I,3,FALSE))</f>
        <v>0</v>
      </c>
      <c r="F274" s="140">
        <f>IF(A274="",0,VLOOKUP(A274,'Database Lab+Equip'!$F:$I,4,FALSE))</f>
        <v>0</v>
      </c>
      <c r="G274" s="140">
        <f t="shared" ref="G274:G280" si="27">IF(A274="",0,C274*D274*E274*E$261)</f>
        <v>0</v>
      </c>
      <c r="H274" s="140">
        <f t="shared" ref="H274:H280" si="28">IF(A274="",0,C274*D274*F274*E$261)</f>
        <v>0</v>
      </c>
      <c r="I274" s="140">
        <f t="shared" ref="I274:I280" si="29">(H274*$M$262)+H274</f>
        <v>0</v>
      </c>
      <c r="J274" s="122"/>
      <c r="K274" s="29"/>
      <c r="L274" s="122"/>
      <c r="M274" s="122"/>
    </row>
    <row r="275" spans="1:13" s="132" customFormat="1" ht="12" customHeight="1" x14ac:dyDescent="0.3">
      <c r="A275" s="148"/>
      <c r="B275" s="71" t="str">
        <f>IF(A275="","",VLOOKUP(A275,'Database Lab+Equip'!$F:$I,2,FALSE))</f>
        <v/>
      </c>
      <c r="C275" s="142"/>
      <c r="D275" s="272"/>
      <c r="E275" s="140">
        <f>IF(A275="",0,VLOOKUP(A275,'Database Lab+Equip'!$F:$I,3,FALSE))</f>
        <v>0</v>
      </c>
      <c r="F275" s="140">
        <f>IF(A275="",0,VLOOKUP(A275,'Database Lab+Equip'!$F:$I,4,FALSE))</f>
        <v>0</v>
      </c>
      <c r="G275" s="140">
        <f t="shared" si="27"/>
        <v>0</v>
      </c>
      <c r="H275" s="140">
        <f t="shared" si="28"/>
        <v>0</v>
      </c>
      <c r="I275" s="140">
        <f t="shared" si="29"/>
        <v>0</v>
      </c>
      <c r="J275" s="84"/>
      <c r="K275" s="29"/>
      <c r="L275" s="122"/>
      <c r="M275" s="122"/>
    </row>
    <row r="276" spans="1:13" s="132" customFormat="1" ht="12" customHeight="1" x14ac:dyDescent="0.3">
      <c r="A276" s="148"/>
      <c r="B276" s="71" t="str">
        <f>IF(A276="","",VLOOKUP(A276,'Database Lab+Equip'!$F:$I,2,FALSE))</f>
        <v/>
      </c>
      <c r="C276" s="142"/>
      <c r="D276" s="272"/>
      <c r="E276" s="140">
        <f>IF(A276="",0,VLOOKUP(A276,'Database Lab+Equip'!$F:$I,3,FALSE))</f>
        <v>0</v>
      </c>
      <c r="F276" s="140">
        <f>IF(A276="",0,VLOOKUP(A276,'Database Lab+Equip'!$F:$I,4,FALSE))</f>
        <v>0</v>
      </c>
      <c r="G276" s="140">
        <f t="shared" si="27"/>
        <v>0</v>
      </c>
      <c r="H276" s="140">
        <f t="shared" si="28"/>
        <v>0</v>
      </c>
      <c r="I276" s="140">
        <f t="shared" si="29"/>
        <v>0</v>
      </c>
      <c r="J276" s="84"/>
      <c r="K276" s="29"/>
      <c r="L276" s="122"/>
      <c r="M276" s="122"/>
    </row>
    <row r="277" spans="1:13" s="132" customFormat="1" ht="12" customHeight="1" x14ac:dyDescent="0.3">
      <c r="A277" s="148"/>
      <c r="B277" s="71" t="str">
        <f>IF(A277="","",VLOOKUP(A277,'Database Lab+Equip'!$F:$I,2,FALSE))</f>
        <v/>
      </c>
      <c r="C277" s="142"/>
      <c r="D277" s="272"/>
      <c r="E277" s="140">
        <f>IF(A277="",0,VLOOKUP(A277,'Database Lab+Equip'!$F:$I,3,FALSE))</f>
        <v>0</v>
      </c>
      <c r="F277" s="140">
        <f>IF(A277="",0,VLOOKUP(A277,'Database Lab+Equip'!$F:$I,4,FALSE))</f>
        <v>0</v>
      </c>
      <c r="G277" s="140">
        <f t="shared" si="27"/>
        <v>0</v>
      </c>
      <c r="H277" s="140">
        <f t="shared" si="28"/>
        <v>0</v>
      </c>
      <c r="I277" s="140">
        <f t="shared" si="29"/>
        <v>0</v>
      </c>
      <c r="J277" s="84"/>
      <c r="K277" s="29"/>
      <c r="L277" s="122"/>
      <c r="M277" s="122"/>
    </row>
    <row r="278" spans="1:13" s="132" customFormat="1" ht="12" customHeight="1" x14ac:dyDescent="0.3">
      <c r="A278" s="148"/>
      <c r="B278" s="71" t="str">
        <f>IF(A278="","",VLOOKUP(A278,'Database Lab+Equip'!$F:$I,2,FALSE))</f>
        <v/>
      </c>
      <c r="C278" s="142"/>
      <c r="D278" s="272"/>
      <c r="E278" s="140">
        <f>IF(A278="",0,VLOOKUP(A278,'Database Lab+Equip'!$F:$I,3,FALSE))</f>
        <v>0</v>
      </c>
      <c r="F278" s="140">
        <f>IF(A278="",0,VLOOKUP(A278,'Database Lab+Equip'!$F:$I,4,FALSE))</f>
        <v>0</v>
      </c>
      <c r="G278" s="140">
        <f t="shared" si="27"/>
        <v>0</v>
      </c>
      <c r="H278" s="140">
        <f t="shared" si="28"/>
        <v>0</v>
      </c>
      <c r="I278" s="140">
        <f t="shared" si="29"/>
        <v>0</v>
      </c>
      <c r="J278" s="84"/>
      <c r="K278" s="29"/>
      <c r="L278" s="122"/>
      <c r="M278" s="122"/>
    </row>
    <row r="279" spans="1:13" s="132" customFormat="1" ht="12" customHeight="1" x14ac:dyDescent="0.3">
      <c r="A279" s="148"/>
      <c r="B279" s="71" t="str">
        <f>IF(A279="","",VLOOKUP(A279,'Database Lab+Equip'!$F:$I,2,FALSE))</f>
        <v/>
      </c>
      <c r="C279" s="142"/>
      <c r="D279" s="272"/>
      <c r="E279" s="140">
        <f>IF(A279="",0,VLOOKUP(A279,'Database Lab+Equip'!$F:$I,3,FALSE))</f>
        <v>0</v>
      </c>
      <c r="F279" s="140">
        <f>IF(A279="",0,VLOOKUP(A279,'Database Lab+Equip'!$F:$I,4,FALSE))</f>
        <v>0</v>
      </c>
      <c r="G279" s="140">
        <f t="shared" si="27"/>
        <v>0</v>
      </c>
      <c r="H279" s="140">
        <f t="shared" si="28"/>
        <v>0</v>
      </c>
      <c r="I279" s="140">
        <f t="shared" si="29"/>
        <v>0</v>
      </c>
      <c r="J279" s="84"/>
      <c r="K279" s="29"/>
      <c r="L279" s="122"/>
      <c r="M279" s="122"/>
    </row>
    <row r="280" spans="1:13" s="132" customFormat="1" ht="12" customHeight="1" x14ac:dyDescent="0.3">
      <c r="A280" s="148"/>
      <c r="B280" s="71" t="str">
        <f>IF(A280="","",VLOOKUP(A280,'Database Lab+Equip'!$F:$I,2,FALSE))</f>
        <v/>
      </c>
      <c r="C280" s="150"/>
      <c r="D280" s="273"/>
      <c r="E280" s="140">
        <f>IF(A280="",0,VLOOKUP(A280,'Database Lab+Equip'!$F:$I,3,FALSE))</f>
        <v>0</v>
      </c>
      <c r="F280" s="140">
        <f>IF(A280="",0,VLOOKUP(A280,'Database Lab+Equip'!$F:$I,4,FALSE))</f>
        <v>0</v>
      </c>
      <c r="G280" s="140">
        <f t="shared" si="27"/>
        <v>0</v>
      </c>
      <c r="H280" s="140">
        <f t="shared" si="28"/>
        <v>0</v>
      </c>
      <c r="I280" s="140">
        <f t="shared" si="29"/>
        <v>0</v>
      </c>
      <c r="J280" s="152" t="s">
        <v>108</v>
      </c>
      <c r="K280" s="153" t="s">
        <v>109</v>
      </c>
      <c r="L280" s="31"/>
      <c r="M280" s="125">
        <f>SUM(I273:I280)-SUM(G273:G280)</f>
        <v>0</v>
      </c>
    </row>
    <row r="281" spans="1:13" s="132" customFormat="1" ht="12" customHeight="1" x14ac:dyDescent="0.3">
      <c r="A281" s="72"/>
      <c r="B281" s="143"/>
      <c r="C281" s="130"/>
      <c r="D281" s="265"/>
      <c r="E281" s="122"/>
      <c r="F281" s="122"/>
      <c r="G281" s="21">
        <f>SUM(G273:G280)</f>
        <v>0</v>
      </c>
      <c r="H281" s="21">
        <f>SUM(H273:H280)</f>
        <v>0</v>
      </c>
      <c r="I281" s="21">
        <f>SUM(I273:I280)</f>
        <v>0</v>
      </c>
      <c r="J281" s="21">
        <f>G281</f>
        <v>0</v>
      </c>
      <c r="K281" s="34">
        <f>I281</f>
        <v>0</v>
      </c>
      <c r="L281" s="154">
        <f>IF(J281=0,0,(K281-J281)/J281)</f>
        <v>0</v>
      </c>
      <c r="M281" s="187">
        <f>M269+M280</f>
        <v>0</v>
      </c>
    </row>
    <row r="282" spans="1:13" s="31" customFormat="1" ht="13.8" x14ac:dyDescent="0.3">
      <c r="A282" s="110"/>
      <c r="B282" s="115"/>
      <c r="C282" s="116"/>
      <c r="D282" s="274"/>
      <c r="E282" s="117"/>
      <c r="F282" s="117"/>
      <c r="G282" s="118"/>
      <c r="H282" s="110"/>
      <c r="I282" s="161"/>
      <c r="J282" s="162">
        <f>J270+J281</f>
        <v>0</v>
      </c>
      <c r="K282" s="162">
        <f>K270+K281</f>
        <v>0</v>
      </c>
      <c r="L282" s="119">
        <f>IF(J282=0,0,(K282-J282)/K282)</f>
        <v>0</v>
      </c>
      <c r="M282" s="173"/>
    </row>
    <row r="283" spans="1:13" s="31" customFormat="1" ht="13.8" x14ac:dyDescent="0.3">
      <c r="A283" s="112"/>
      <c r="B283" s="223"/>
      <c r="C283" s="214"/>
      <c r="D283" s="275"/>
      <c r="E283" s="215"/>
      <c r="F283" s="215"/>
      <c r="G283" s="216"/>
      <c r="H283" s="112"/>
      <c r="I283" s="217"/>
      <c r="J283" s="218"/>
      <c r="K283" s="218"/>
      <c r="L283" s="224"/>
      <c r="M283" s="213"/>
    </row>
    <row r="284" spans="1:13" ht="15.6" x14ac:dyDescent="0.3">
      <c r="B284" s="241" t="s">
        <v>175</v>
      </c>
      <c r="C284" s="42"/>
      <c r="D284" s="42"/>
      <c r="E284" s="42"/>
      <c r="F284" s="129"/>
      <c r="H284" s="132"/>
      <c r="I284" s="132"/>
      <c r="L284" s="221" t="s">
        <v>85</v>
      </c>
      <c r="M284" s="222"/>
    </row>
    <row r="285" spans="1:13" s="132" customFormat="1" ht="12" customHeight="1" x14ac:dyDescent="0.3">
      <c r="A285" s="72"/>
      <c r="B285" s="24" t="s">
        <v>135</v>
      </c>
      <c r="C285" s="22"/>
      <c r="D285" s="266" t="s">
        <v>87</v>
      </c>
      <c r="E285" s="23"/>
      <c r="F285" s="133"/>
      <c r="H285" s="14"/>
      <c r="I285" s="14"/>
      <c r="J285" s="14"/>
      <c r="K285" s="14"/>
      <c r="L285" s="219" t="s">
        <v>88</v>
      </c>
      <c r="M285" s="220"/>
    </row>
    <row r="286" spans="1:13" s="132" customFormat="1" ht="12" customHeight="1" x14ac:dyDescent="0.3">
      <c r="A286" s="72"/>
      <c r="B286" s="24" t="s">
        <v>141</v>
      </c>
      <c r="C286" s="25"/>
      <c r="D286" s="266" t="s">
        <v>89</v>
      </c>
      <c r="E286" s="23"/>
      <c r="K286" s="14"/>
      <c r="L286" s="126" t="s">
        <v>90</v>
      </c>
      <c r="M286" s="127"/>
    </row>
    <row r="287" spans="1:13" s="132" customFormat="1" ht="12" customHeight="1" x14ac:dyDescent="0.3">
      <c r="A287" s="72"/>
      <c r="B287" s="24" t="s">
        <v>142</v>
      </c>
      <c r="C287" s="27" t="str">
        <f>IF(C285="","",C285/E287+C286)</f>
        <v/>
      </c>
      <c r="D287" s="266" t="s">
        <v>91</v>
      </c>
      <c r="E287" s="23"/>
      <c r="I287" s="26"/>
      <c r="J287" s="26"/>
      <c r="K287" s="14"/>
      <c r="L287" s="126" t="s">
        <v>92</v>
      </c>
      <c r="M287" s="127"/>
    </row>
    <row r="288" spans="1:13" s="132" customFormat="1" ht="12" customHeight="1" x14ac:dyDescent="0.3">
      <c r="A288" s="72"/>
      <c r="B288" s="59" t="s">
        <v>143</v>
      </c>
      <c r="C288" s="260"/>
      <c r="D288" s="266" t="s">
        <v>25</v>
      </c>
      <c r="E288" s="128">
        <f>SUM(C293:C297)</f>
        <v>0</v>
      </c>
      <c r="I288" s="26"/>
      <c r="J288" s="26"/>
      <c r="K288" s="14"/>
      <c r="L288" s="93" t="s">
        <v>94</v>
      </c>
      <c r="M288" s="94"/>
    </row>
    <row r="289" spans="1:13" s="132" customFormat="1" ht="12" customHeight="1" x14ac:dyDescent="0.3">
      <c r="A289" s="72"/>
      <c r="B289" s="59" t="s">
        <v>144</v>
      </c>
      <c r="C289" s="25"/>
      <c r="D289" s="266" t="s">
        <v>44</v>
      </c>
      <c r="E289" s="244">
        <f>IF(E288=0,0,(C287/C288)/C289)</f>
        <v>0</v>
      </c>
      <c r="I289" s="26"/>
      <c r="J289" s="26"/>
      <c r="K289" s="14"/>
      <c r="L289" s="57" t="s">
        <v>70</v>
      </c>
      <c r="M289" s="58">
        <f>$M$9</f>
        <v>0.05</v>
      </c>
    </row>
    <row r="290" spans="1:13" s="132" customFormat="1" ht="12" customHeight="1" x14ac:dyDescent="0.3">
      <c r="A290" s="72"/>
      <c r="B290" s="28"/>
      <c r="C290" s="122"/>
      <c r="D290" s="267"/>
      <c r="E290" s="211"/>
      <c r="I290" s="26"/>
      <c r="J290" s="26"/>
      <c r="K290" s="14"/>
      <c r="L290" s="57" t="s">
        <v>80</v>
      </c>
      <c r="M290" s="58">
        <f>$M$10</f>
        <v>0.05</v>
      </c>
    </row>
    <row r="291" spans="1:13" s="132" customFormat="1" ht="12" customHeight="1" x14ac:dyDescent="0.3">
      <c r="A291" s="72"/>
      <c r="B291" s="28"/>
      <c r="C291" s="28"/>
      <c r="D291" s="43"/>
      <c r="H291" s="29"/>
      <c r="I291" s="29"/>
      <c r="J291" s="29"/>
      <c r="K291" s="29"/>
      <c r="M291" s="71"/>
    </row>
    <row r="292" spans="1:13" s="132" customFormat="1" ht="27.6" x14ac:dyDescent="0.3">
      <c r="A292" s="246" t="s">
        <v>145</v>
      </c>
      <c r="B292" s="246" t="s">
        <v>70</v>
      </c>
      <c r="C292" s="48" t="s">
        <v>47</v>
      </c>
      <c r="D292" s="135" t="s">
        <v>97</v>
      </c>
      <c r="E292" s="48" t="s">
        <v>98</v>
      </c>
      <c r="F292" s="48" t="s">
        <v>99</v>
      </c>
      <c r="G292" s="48" t="s">
        <v>22</v>
      </c>
      <c r="H292" s="48" t="s">
        <v>23</v>
      </c>
      <c r="I292" s="135" t="s">
        <v>100</v>
      </c>
      <c r="J292" s="136"/>
      <c r="K292" s="52"/>
      <c r="L292" s="48" t="s">
        <v>101</v>
      </c>
      <c r="M292" s="48" t="s">
        <v>0</v>
      </c>
    </row>
    <row r="293" spans="1:13" s="132" customFormat="1" ht="12" customHeight="1" x14ac:dyDescent="0.3">
      <c r="A293" s="137"/>
      <c r="B293" s="71" t="str">
        <f>IF(A293="","",VLOOKUP(A293,'Database Lab+Equip'!$A:$D,2,FALSE))</f>
        <v/>
      </c>
      <c r="C293" s="139"/>
      <c r="D293" s="268"/>
      <c r="E293" s="140">
        <f>IF(A293="",0,VLOOKUP(A293,'Database Lab+Equip'!$A:$D,3,FALSE))</f>
        <v>0</v>
      </c>
      <c r="F293" s="140">
        <f>IF(A293="",0,VLOOKUP(A293,'Database Lab+Equip'!$A:$D,4,FALSE))</f>
        <v>0</v>
      </c>
      <c r="G293" s="140">
        <f>IF(A293="",0,C293*D293*E293*E$289)</f>
        <v>0</v>
      </c>
      <c r="H293" s="140">
        <f>IF(A293="",0,C293*D293*F293*E$289)</f>
        <v>0</v>
      </c>
      <c r="I293" s="140">
        <f>(H293*$M$289)+H293</f>
        <v>0</v>
      </c>
      <c r="J293" s="154"/>
      <c r="K293" s="26"/>
      <c r="M293" s="84"/>
    </row>
    <row r="294" spans="1:13" s="132" customFormat="1" ht="12" customHeight="1" x14ac:dyDescent="0.3">
      <c r="A294" s="137"/>
      <c r="B294" s="71" t="str">
        <f>IF(A294="","",VLOOKUP(A294,'Database Lab+Equip'!$A:$D,2,FALSE))</f>
        <v/>
      </c>
      <c r="C294" s="142"/>
      <c r="D294" s="269"/>
      <c r="E294" s="140">
        <f>IF(A294="",0,VLOOKUP(A294,'Database Lab+Equip'!$A:$D,3,FALSE))</f>
        <v>0</v>
      </c>
      <c r="F294" s="140">
        <f>IF(A294="",0,VLOOKUP(A294,'Database Lab+Equip'!$A:$D,4,FALSE))</f>
        <v>0</v>
      </c>
      <c r="G294" s="140">
        <f>IF(A294="",0,C294*D294*E294*E$289)</f>
        <v>0</v>
      </c>
      <c r="H294" s="140">
        <f>IF(A294="",0,C294*D294*F294*E$289)</f>
        <v>0</v>
      </c>
      <c r="I294" s="140">
        <f>(H294*$M$289)+H294</f>
        <v>0</v>
      </c>
      <c r="J294" s="154"/>
      <c r="K294" s="26"/>
      <c r="M294" s="122"/>
    </row>
    <row r="295" spans="1:13" s="132" customFormat="1" ht="12" customHeight="1" x14ac:dyDescent="0.3">
      <c r="A295" s="137"/>
      <c r="B295" s="71" t="str">
        <f>IF(A295="","",VLOOKUP(A295,'Database Lab+Equip'!$A:$D,2,FALSE))</f>
        <v/>
      </c>
      <c r="C295" s="142"/>
      <c r="D295" s="269"/>
      <c r="E295" s="140">
        <f>IF(A295="",0,VLOOKUP(A295,'Database Lab+Equip'!$A:$D,3,FALSE))</f>
        <v>0</v>
      </c>
      <c r="F295" s="140">
        <f>IF(A295="",0,VLOOKUP(A295,'Database Lab+Equip'!$A:$D,4,FALSE))</f>
        <v>0</v>
      </c>
      <c r="G295" s="140">
        <f>IF(A295="",0,C295*D295*E295*E$289)</f>
        <v>0</v>
      </c>
      <c r="H295" s="140">
        <f>IF(A295="",0,C295*D295*F295*E$289)</f>
        <v>0</v>
      </c>
      <c r="I295" s="140">
        <f>(H295*$M$289)+H295</f>
        <v>0</v>
      </c>
      <c r="J295" s="154"/>
      <c r="K295" s="26"/>
      <c r="M295" s="122"/>
    </row>
    <row r="296" spans="1:13" s="132" customFormat="1" ht="12" customHeight="1" x14ac:dyDescent="0.3">
      <c r="A296" s="137"/>
      <c r="B296" s="71" t="str">
        <f>IF(A296="","",VLOOKUP(A296,'Database Lab+Equip'!$A:$D,2,FALSE))</f>
        <v/>
      </c>
      <c r="C296" s="142"/>
      <c r="D296" s="269"/>
      <c r="E296" s="140">
        <f>IF(A296="",0,VLOOKUP(A296,'Database Lab+Equip'!$A:$D,3,FALSE))</f>
        <v>0</v>
      </c>
      <c r="F296" s="140">
        <f>IF(A296="",0,VLOOKUP(A296,'Database Lab+Equip'!$A:$D,4,FALSE))</f>
        <v>0</v>
      </c>
      <c r="G296" s="140">
        <f>IF(A296="",0,C296*D296*E296*E$289)</f>
        <v>0</v>
      </c>
      <c r="H296" s="140">
        <f>IF(A296="",0,C296*D296*F296*E$289)</f>
        <v>0</v>
      </c>
      <c r="I296" s="140">
        <f>(H296*$M$289)+H296</f>
        <v>0</v>
      </c>
      <c r="J296" s="154"/>
      <c r="K296" s="26"/>
      <c r="M296" s="122"/>
    </row>
    <row r="297" spans="1:13" s="132" customFormat="1" ht="12" customHeight="1" x14ac:dyDescent="0.3">
      <c r="A297" s="137"/>
      <c r="B297" s="71" t="str">
        <f>IF(A297="","",VLOOKUP(A297,'Database Lab+Equip'!$A:$D,2,FALSE))</f>
        <v/>
      </c>
      <c r="C297" s="142"/>
      <c r="D297" s="269"/>
      <c r="E297" s="140">
        <f>IF(A297="",0,VLOOKUP(A297,'Database Lab+Equip'!$A:$D,3,FALSE))</f>
        <v>0</v>
      </c>
      <c r="F297" s="140">
        <f>IF(A297="",0,VLOOKUP(A297,'Database Lab+Equip'!$A:$D,4,FALSE))</f>
        <v>0</v>
      </c>
      <c r="G297" s="140">
        <f>IF(A297="",0,C297*D297*E297*E$289)</f>
        <v>0</v>
      </c>
      <c r="H297" s="140">
        <f>IF(A297="",0,C297*D297*F297*E$289)</f>
        <v>0</v>
      </c>
      <c r="I297" s="140">
        <f>(H297*$M$289)+H297</f>
        <v>0</v>
      </c>
      <c r="J297" s="152" t="s">
        <v>108</v>
      </c>
      <c r="K297" s="153" t="s">
        <v>109</v>
      </c>
      <c r="L297" s="31"/>
      <c r="M297" s="123">
        <f>SUM(I293:I297)-SUM(G293:G297)</f>
        <v>0</v>
      </c>
    </row>
    <row r="298" spans="1:13" s="132" customFormat="1" ht="12" customHeight="1" x14ac:dyDescent="0.3">
      <c r="A298" s="35"/>
      <c r="C298" s="140"/>
      <c r="D298" s="270"/>
      <c r="E298" s="140"/>
      <c r="F298" s="140"/>
      <c r="G298" s="21">
        <f>SUM(G293:G297)</f>
        <v>0</v>
      </c>
      <c r="H298" s="21">
        <f>SUM(H293:H297)</f>
        <v>0</v>
      </c>
      <c r="I298" s="21">
        <f>SUM(I293:I297)</f>
        <v>0</v>
      </c>
      <c r="J298" s="21">
        <f>G298</f>
        <v>0</v>
      </c>
      <c r="K298" s="34">
        <f>I298</f>
        <v>0</v>
      </c>
      <c r="L298" s="154">
        <f>IF(J298=0,0,(K298-J298)/J298)</f>
        <v>0</v>
      </c>
      <c r="M298" s="122"/>
    </row>
    <row r="299" spans="1:13" s="132" customFormat="1" ht="12" customHeight="1" x14ac:dyDescent="0.3">
      <c r="A299" s="35"/>
      <c r="B299" s="71"/>
      <c r="C299" s="122"/>
      <c r="D299" s="265"/>
      <c r="E299" s="122"/>
      <c r="F299" s="122"/>
      <c r="G299" s="122"/>
      <c r="H299" s="122"/>
      <c r="I299" s="144"/>
      <c r="J299" s="84"/>
      <c r="K299" s="29"/>
      <c r="L299" s="122"/>
      <c r="M299" s="122"/>
    </row>
    <row r="300" spans="1:13" s="132" customFormat="1" ht="41.4" x14ac:dyDescent="0.3">
      <c r="A300" s="246" t="s">
        <v>96</v>
      </c>
      <c r="B300" s="246" t="s">
        <v>80</v>
      </c>
      <c r="C300" s="48" t="s">
        <v>47</v>
      </c>
      <c r="D300" s="135" t="s">
        <v>110</v>
      </c>
      <c r="E300" s="48" t="s">
        <v>98</v>
      </c>
      <c r="F300" s="48" t="s">
        <v>99</v>
      </c>
      <c r="G300" s="48" t="s">
        <v>22</v>
      </c>
      <c r="H300" s="48" t="s">
        <v>23</v>
      </c>
      <c r="I300" s="135" t="s">
        <v>100</v>
      </c>
      <c r="J300" s="145"/>
      <c r="K300" s="48"/>
      <c r="L300" s="124"/>
      <c r="M300" s="124"/>
    </row>
    <row r="301" spans="1:13" s="132" customFormat="1" ht="12" customHeight="1" x14ac:dyDescent="0.3">
      <c r="A301" s="148"/>
      <c r="B301" s="71" t="str">
        <f>IF(A301="","",VLOOKUP(A301,'Database Lab+Equip'!$F:$I,2,FALSE))</f>
        <v/>
      </c>
      <c r="C301" s="139"/>
      <c r="D301" s="271"/>
      <c r="E301" s="140">
        <f>IF(A301="",0,VLOOKUP(A301,'Database Lab+Equip'!$F:$I,3,FALSE))</f>
        <v>0</v>
      </c>
      <c r="F301" s="140">
        <f>IF(A301="",0,VLOOKUP(A301,'Database Lab+Equip'!$F:$I,4,FALSE))</f>
        <v>0</v>
      </c>
      <c r="G301" s="140">
        <f>IF(A301="",0,C301*D301*E301*E$289)</f>
        <v>0</v>
      </c>
      <c r="H301" s="140">
        <f>IF(A301="",0,C301*D301*F301*E$289)</f>
        <v>0</v>
      </c>
      <c r="I301" s="140">
        <f>(H301*$M$290)+H301</f>
        <v>0</v>
      </c>
      <c r="J301" s="84"/>
      <c r="K301" s="29"/>
      <c r="L301" s="122"/>
      <c r="M301" s="84"/>
    </row>
    <row r="302" spans="1:13" s="132" customFormat="1" ht="12" customHeight="1" x14ac:dyDescent="0.3">
      <c r="A302" s="148"/>
      <c r="B302" s="71" t="str">
        <f>IF(A302="","",VLOOKUP(A302,'Database Lab+Equip'!$F:$I,2,FALSE))</f>
        <v/>
      </c>
      <c r="C302" s="142"/>
      <c r="D302" s="272"/>
      <c r="E302" s="140">
        <f>IF(A302="",0,VLOOKUP(A302,'Database Lab+Equip'!$F:$I,3,FALSE))</f>
        <v>0</v>
      </c>
      <c r="F302" s="140">
        <f>IF(A302="",0,VLOOKUP(A302,'Database Lab+Equip'!$F:$I,4,FALSE))</f>
        <v>0</v>
      </c>
      <c r="G302" s="140">
        <f t="shared" ref="G302:G308" si="30">IF(A302="",0,C302*D302*E302*E$289)</f>
        <v>0</v>
      </c>
      <c r="H302" s="140">
        <f t="shared" ref="H302:H308" si="31">IF(A302="",0,C302*D302*F302*E$289)</f>
        <v>0</v>
      </c>
      <c r="I302" s="140">
        <f t="shared" ref="I302:I308" si="32">(H302*$M$290)+H302</f>
        <v>0</v>
      </c>
      <c r="J302" s="122"/>
      <c r="K302" s="29"/>
      <c r="L302" s="122"/>
      <c r="M302" s="122"/>
    </row>
    <row r="303" spans="1:13" s="132" customFormat="1" ht="12" customHeight="1" x14ac:dyDescent="0.3">
      <c r="A303" s="148"/>
      <c r="B303" s="71" t="str">
        <f>IF(A303="","",VLOOKUP(A303,'Database Lab+Equip'!$F:$I,2,FALSE))</f>
        <v/>
      </c>
      <c r="C303" s="142"/>
      <c r="D303" s="272"/>
      <c r="E303" s="140">
        <f>IF(A303="",0,VLOOKUP(A303,'Database Lab+Equip'!$F:$I,3,FALSE))</f>
        <v>0</v>
      </c>
      <c r="F303" s="140">
        <f>IF(A303="",0,VLOOKUP(A303,'Database Lab+Equip'!$F:$I,4,FALSE))</f>
        <v>0</v>
      </c>
      <c r="G303" s="140">
        <f t="shared" si="30"/>
        <v>0</v>
      </c>
      <c r="H303" s="140">
        <f t="shared" si="31"/>
        <v>0</v>
      </c>
      <c r="I303" s="140">
        <f t="shared" si="32"/>
        <v>0</v>
      </c>
      <c r="J303" s="84"/>
      <c r="K303" s="29"/>
      <c r="L303" s="122"/>
      <c r="M303" s="122"/>
    </row>
    <row r="304" spans="1:13" s="132" customFormat="1" ht="12" customHeight="1" x14ac:dyDescent="0.3">
      <c r="A304" s="148"/>
      <c r="B304" s="71" t="str">
        <f>IF(A304="","",VLOOKUP(A304,'Database Lab+Equip'!$F:$I,2,FALSE))</f>
        <v/>
      </c>
      <c r="C304" s="142"/>
      <c r="D304" s="272"/>
      <c r="E304" s="140">
        <f>IF(A304="",0,VLOOKUP(A304,'Database Lab+Equip'!$F:$I,3,FALSE))</f>
        <v>0</v>
      </c>
      <c r="F304" s="140">
        <f>IF(A304="",0,VLOOKUP(A304,'Database Lab+Equip'!$F:$I,4,FALSE))</f>
        <v>0</v>
      </c>
      <c r="G304" s="140">
        <f t="shared" si="30"/>
        <v>0</v>
      </c>
      <c r="H304" s="140">
        <f t="shared" si="31"/>
        <v>0</v>
      </c>
      <c r="I304" s="140">
        <f t="shared" si="32"/>
        <v>0</v>
      </c>
      <c r="J304" s="84"/>
      <c r="K304" s="29"/>
      <c r="L304" s="122"/>
      <c r="M304" s="122"/>
    </row>
    <row r="305" spans="1:13" s="132" customFormat="1" ht="12" customHeight="1" x14ac:dyDescent="0.3">
      <c r="A305" s="148"/>
      <c r="B305" s="71" t="str">
        <f>IF(A305="","",VLOOKUP(A305,'Database Lab+Equip'!$F:$I,2,FALSE))</f>
        <v/>
      </c>
      <c r="C305" s="142"/>
      <c r="D305" s="272"/>
      <c r="E305" s="140">
        <f>IF(A305="",0,VLOOKUP(A305,'Database Lab+Equip'!$F:$I,3,FALSE))</f>
        <v>0</v>
      </c>
      <c r="F305" s="140">
        <f>IF(A305="",0,VLOOKUP(A305,'Database Lab+Equip'!$F:$I,4,FALSE))</f>
        <v>0</v>
      </c>
      <c r="G305" s="140">
        <f t="shared" si="30"/>
        <v>0</v>
      </c>
      <c r="H305" s="140">
        <f t="shared" si="31"/>
        <v>0</v>
      </c>
      <c r="I305" s="140">
        <f t="shared" si="32"/>
        <v>0</v>
      </c>
      <c r="J305" s="84"/>
      <c r="K305" s="29"/>
      <c r="L305" s="122"/>
      <c r="M305" s="122"/>
    </row>
    <row r="306" spans="1:13" s="132" customFormat="1" ht="12" customHeight="1" x14ac:dyDescent="0.3">
      <c r="A306" s="148"/>
      <c r="B306" s="71" t="str">
        <f>IF(A306="","",VLOOKUP(A306,'Database Lab+Equip'!$F:$I,2,FALSE))</f>
        <v/>
      </c>
      <c r="C306" s="142"/>
      <c r="D306" s="272"/>
      <c r="E306" s="140">
        <f>IF(A306="",0,VLOOKUP(A306,'Database Lab+Equip'!$F:$I,3,FALSE))</f>
        <v>0</v>
      </c>
      <c r="F306" s="140">
        <f>IF(A306="",0,VLOOKUP(A306,'Database Lab+Equip'!$F:$I,4,FALSE))</f>
        <v>0</v>
      </c>
      <c r="G306" s="140">
        <f t="shared" si="30"/>
        <v>0</v>
      </c>
      <c r="H306" s="140">
        <f t="shared" si="31"/>
        <v>0</v>
      </c>
      <c r="I306" s="140">
        <f t="shared" si="32"/>
        <v>0</v>
      </c>
      <c r="J306" s="84"/>
      <c r="K306" s="29"/>
      <c r="L306" s="122"/>
      <c r="M306" s="122"/>
    </row>
    <row r="307" spans="1:13" s="132" customFormat="1" ht="12" customHeight="1" x14ac:dyDescent="0.3">
      <c r="A307" s="148"/>
      <c r="B307" s="71" t="str">
        <f>IF(A307="","",VLOOKUP(A307,'Database Lab+Equip'!$F:$I,2,FALSE))</f>
        <v/>
      </c>
      <c r="C307" s="142"/>
      <c r="D307" s="272"/>
      <c r="E307" s="140">
        <f>IF(A307="",0,VLOOKUP(A307,'Database Lab+Equip'!$F:$I,3,FALSE))</f>
        <v>0</v>
      </c>
      <c r="F307" s="140">
        <f>IF(A307="",0,VLOOKUP(A307,'Database Lab+Equip'!$F:$I,4,FALSE))</f>
        <v>0</v>
      </c>
      <c r="G307" s="140">
        <f t="shared" si="30"/>
        <v>0</v>
      </c>
      <c r="H307" s="140">
        <f t="shared" si="31"/>
        <v>0</v>
      </c>
      <c r="I307" s="140">
        <f t="shared" si="32"/>
        <v>0</v>
      </c>
      <c r="J307" s="84"/>
      <c r="K307" s="29"/>
      <c r="L307" s="122"/>
      <c r="M307" s="122"/>
    </row>
    <row r="308" spans="1:13" s="132" customFormat="1" ht="12" customHeight="1" x14ac:dyDescent="0.3">
      <c r="A308" s="148"/>
      <c r="B308" s="71" t="str">
        <f>IF(A308="","",VLOOKUP(A308,'Database Lab+Equip'!$F:$I,2,FALSE))</f>
        <v/>
      </c>
      <c r="C308" s="150"/>
      <c r="D308" s="273"/>
      <c r="E308" s="140">
        <f>IF(A308="",0,VLOOKUP(A308,'Database Lab+Equip'!$F:$I,3,FALSE))</f>
        <v>0</v>
      </c>
      <c r="F308" s="140">
        <f>IF(A308="",0,VLOOKUP(A308,'Database Lab+Equip'!$F:$I,4,FALSE))</f>
        <v>0</v>
      </c>
      <c r="G308" s="140">
        <f t="shared" si="30"/>
        <v>0</v>
      </c>
      <c r="H308" s="140">
        <f t="shared" si="31"/>
        <v>0</v>
      </c>
      <c r="I308" s="140">
        <f t="shared" si="32"/>
        <v>0</v>
      </c>
      <c r="J308" s="152" t="s">
        <v>108</v>
      </c>
      <c r="K308" s="153" t="s">
        <v>109</v>
      </c>
      <c r="L308" s="31"/>
      <c r="M308" s="125">
        <f>SUM(I301:I308)-SUM(G301:G308)</f>
        <v>0</v>
      </c>
    </row>
    <row r="309" spans="1:13" s="132" customFormat="1" ht="12" customHeight="1" x14ac:dyDescent="0.3">
      <c r="A309" s="72"/>
      <c r="B309" s="143"/>
      <c r="C309" s="130"/>
      <c r="D309" s="265"/>
      <c r="E309" s="122"/>
      <c r="F309" s="122"/>
      <c r="G309" s="21">
        <f>SUM(G301:G308)</f>
        <v>0</v>
      </c>
      <c r="H309" s="21">
        <f>SUM(H301:H308)</f>
        <v>0</v>
      </c>
      <c r="I309" s="21">
        <f>SUM(I301:I308)</f>
        <v>0</v>
      </c>
      <c r="J309" s="21">
        <f>G309</f>
        <v>0</v>
      </c>
      <c r="K309" s="34">
        <f>I309</f>
        <v>0</v>
      </c>
      <c r="L309" s="154">
        <f>IF(J309=0,0,(K309-J309)/J309)</f>
        <v>0</v>
      </c>
      <c r="M309" s="187">
        <f>M297+M308</f>
        <v>0</v>
      </c>
    </row>
    <row r="310" spans="1:13" s="31" customFormat="1" ht="13.8" x14ac:dyDescent="0.3">
      <c r="A310" s="110"/>
      <c r="B310" s="115"/>
      <c r="C310" s="116"/>
      <c r="D310" s="274"/>
      <c r="E310" s="117"/>
      <c r="F310" s="117"/>
      <c r="G310" s="118"/>
      <c r="H310" s="110"/>
      <c r="I310" s="161"/>
      <c r="J310" s="162">
        <f>J298+J309</f>
        <v>0</v>
      </c>
      <c r="K310" s="162">
        <f>K298+K309</f>
        <v>0</v>
      </c>
      <c r="L310" s="119">
        <f>IF(J310=0,0,(K310-J310)/K310)</f>
        <v>0</v>
      </c>
      <c r="M310" s="173"/>
    </row>
    <row r="311" spans="1:13" s="31" customFormat="1" ht="13.8" x14ac:dyDescent="0.3">
      <c r="A311" s="112"/>
      <c r="B311" s="223"/>
      <c r="C311" s="214"/>
      <c r="D311" s="275"/>
      <c r="E311" s="215"/>
      <c r="F311" s="215"/>
      <c r="G311" s="216"/>
      <c r="H311" s="112"/>
      <c r="I311" s="217"/>
      <c r="J311" s="218"/>
      <c r="K311" s="218"/>
      <c r="L311" s="224"/>
      <c r="M311" s="213"/>
    </row>
    <row r="312" spans="1:13" ht="15.6" x14ac:dyDescent="0.3">
      <c r="B312" s="241" t="s">
        <v>176</v>
      </c>
      <c r="C312" s="42"/>
      <c r="D312" s="42"/>
      <c r="E312" s="42"/>
      <c r="F312" s="129"/>
      <c r="H312" s="132"/>
      <c r="I312" s="132"/>
      <c r="L312" s="221" t="s">
        <v>85</v>
      </c>
      <c r="M312" s="222"/>
    </row>
    <row r="313" spans="1:13" s="132" customFormat="1" ht="12" customHeight="1" x14ac:dyDescent="0.3">
      <c r="A313" s="72"/>
      <c r="B313" s="24" t="s">
        <v>135</v>
      </c>
      <c r="C313" s="22"/>
      <c r="D313" s="266" t="s">
        <v>87</v>
      </c>
      <c r="E313" s="23"/>
      <c r="F313" s="133"/>
      <c r="H313" s="14"/>
      <c r="I313" s="14"/>
      <c r="J313" s="14"/>
      <c r="K313" s="14"/>
      <c r="L313" s="219" t="s">
        <v>88</v>
      </c>
      <c r="M313" s="220"/>
    </row>
    <row r="314" spans="1:13" s="132" customFormat="1" ht="12" customHeight="1" x14ac:dyDescent="0.3">
      <c r="A314" s="72"/>
      <c r="B314" s="24" t="s">
        <v>141</v>
      </c>
      <c r="C314" s="25"/>
      <c r="D314" s="266" t="s">
        <v>89</v>
      </c>
      <c r="E314" s="23"/>
      <c r="K314" s="14"/>
      <c r="L314" s="126" t="s">
        <v>90</v>
      </c>
      <c r="M314" s="127"/>
    </row>
    <row r="315" spans="1:13" s="132" customFormat="1" ht="12" customHeight="1" x14ac:dyDescent="0.3">
      <c r="A315" s="72"/>
      <c r="B315" s="24" t="s">
        <v>142</v>
      </c>
      <c r="C315" s="27" t="str">
        <f>IF(C313="","",C313/E315+C314)</f>
        <v/>
      </c>
      <c r="D315" s="266" t="s">
        <v>91</v>
      </c>
      <c r="E315" s="23"/>
      <c r="I315" s="26"/>
      <c r="J315" s="26"/>
      <c r="K315" s="14"/>
      <c r="L315" s="126" t="s">
        <v>92</v>
      </c>
      <c r="M315" s="127"/>
    </row>
    <row r="316" spans="1:13" s="132" customFormat="1" ht="12" customHeight="1" x14ac:dyDescent="0.3">
      <c r="A316" s="72"/>
      <c r="B316" s="59" t="s">
        <v>143</v>
      </c>
      <c r="C316" s="260"/>
      <c r="D316" s="266" t="s">
        <v>25</v>
      </c>
      <c r="E316" s="128">
        <f>SUM(C321:C325)</f>
        <v>0</v>
      </c>
      <c r="I316" s="26"/>
      <c r="J316" s="26"/>
      <c r="K316" s="14"/>
      <c r="L316" s="93" t="s">
        <v>94</v>
      </c>
      <c r="M316" s="94"/>
    </row>
    <row r="317" spans="1:13" s="132" customFormat="1" ht="12" customHeight="1" x14ac:dyDescent="0.3">
      <c r="A317" s="72"/>
      <c r="B317" s="59" t="s">
        <v>144</v>
      </c>
      <c r="C317" s="25"/>
      <c r="D317" s="266" t="s">
        <v>44</v>
      </c>
      <c r="E317" s="244">
        <f>IF(E316=0,0,(C315/C316)/C317)</f>
        <v>0</v>
      </c>
      <c r="I317" s="26"/>
      <c r="J317" s="26"/>
      <c r="K317" s="14"/>
      <c r="L317" s="57" t="s">
        <v>70</v>
      </c>
      <c r="M317" s="58">
        <f>$M$9</f>
        <v>0.05</v>
      </c>
    </row>
    <row r="318" spans="1:13" s="132" customFormat="1" ht="12" customHeight="1" x14ac:dyDescent="0.3">
      <c r="A318" s="72"/>
      <c r="B318" s="28"/>
      <c r="C318" s="122"/>
      <c r="D318" s="267"/>
      <c r="E318" s="211"/>
      <c r="I318" s="26"/>
      <c r="J318" s="26"/>
      <c r="K318" s="14"/>
      <c r="L318" s="57" t="s">
        <v>80</v>
      </c>
      <c r="M318" s="58">
        <f>$M$10</f>
        <v>0.05</v>
      </c>
    </row>
    <row r="319" spans="1:13" s="132" customFormat="1" ht="12" customHeight="1" x14ac:dyDescent="0.3">
      <c r="A319" s="72"/>
      <c r="B319" s="28"/>
      <c r="C319" s="28"/>
      <c r="D319" s="43"/>
      <c r="H319" s="29"/>
      <c r="I319" s="29"/>
      <c r="J319" s="29"/>
      <c r="K319" s="29"/>
      <c r="M319" s="71"/>
    </row>
    <row r="320" spans="1:13" s="132" customFormat="1" ht="27.6" x14ac:dyDescent="0.3">
      <c r="A320" s="246" t="s">
        <v>145</v>
      </c>
      <c r="B320" s="246" t="s">
        <v>70</v>
      </c>
      <c r="C320" s="48" t="s">
        <v>47</v>
      </c>
      <c r="D320" s="135" t="s">
        <v>97</v>
      </c>
      <c r="E320" s="48" t="s">
        <v>98</v>
      </c>
      <c r="F320" s="48" t="s">
        <v>99</v>
      </c>
      <c r="G320" s="48" t="s">
        <v>22</v>
      </c>
      <c r="H320" s="48" t="s">
        <v>23</v>
      </c>
      <c r="I320" s="135" t="s">
        <v>100</v>
      </c>
      <c r="J320" s="136"/>
      <c r="K320" s="52"/>
      <c r="L320" s="48" t="s">
        <v>101</v>
      </c>
      <c r="M320" s="48" t="s">
        <v>0</v>
      </c>
    </row>
    <row r="321" spans="1:13" s="132" customFormat="1" ht="12" customHeight="1" x14ac:dyDescent="0.3">
      <c r="A321" s="137"/>
      <c r="B321" s="71" t="str">
        <f>IF(A321="","",VLOOKUP(A321,'Database Lab+Equip'!$A:$D,2,FALSE))</f>
        <v/>
      </c>
      <c r="C321" s="139"/>
      <c r="D321" s="268"/>
      <c r="E321" s="140">
        <f>IF(A321="",0,VLOOKUP(A321,'Database Lab+Equip'!$A:$D,3,FALSE))</f>
        <v>0</v>
      </c>
      <c r="F321" s="140">
        <f>IF(A321="",0,VLOOKUP(A321,'Database Lab+Equip'!$A:$D,4,FALSE))</f>
        <v>0</v>
      </c>
      <c r="G321" s="140">
        <f>IF(A321="",0,C321*D321*E321*E$317)</f>
        <v>0</v>
      </c>
      <c r="H321" s="140">
        <f>IF(A321="",0,C321*D321*F321*E$317)</f>
        <v>0</v>
      </c>
      <c r="I321" s="140">
        <f>(H321*$M$317)+H321</f>
        <v>0</v>
      </c>
      <c r="J321" s="154"/>
      <c r="K321" s="26"/>
      <c r="M321" s="84"/>
    </row>
    <row r="322" spans="1:13" s="132" customFormat="1" ht="12" customHeight="1" x14ac:dyDescent="0.3">
      <c r="A322" s="137"/>
      <c r="B322" s="71" t="str">
        <f>IF(A322="","",VLOOKUP(A322,'Database Lab+Equip'!$A:$D,2,FALSE))</f>
        <v/>
      </c>
      <c r="C322" s="142"/>
      <c r="D322" s="269"/>
      <c r="E322" s="140">
        <f>IF(A322="",0,VLOOKUP(A322,'Database Lab+Equip'!$A:$D,3,FALSE))</f>
        <v>0</v>
      </c>
      <c r="F322" s="140">
        <f>IF(A322="",0,VLOOKUP(A322,'Database Lab+Equip'!$A:$D,4,FALSE))</f>
        <v>0</v>
      </c>
      <c r="G322" s="140">
        <f>IF(A322="",0,C322*D322*E322*E$317)</f>
        <v>0</v>
      </c>
      <c r="H322" s="140">
        <f>IF(A322="",0,C322*D322*F322*E$317)</f>
        <v>0</v>
      </c>
      <c r="I322" s="140">
        <f>(H322*$M$317)+H322</f>
        <v>0</v>
      </c>
      <c r="J322" s="154"/>
      <c r="K322" s="26"/>
      <c r="M322" s="122"/>
    </row>
    <row r="323" spans="1:13" s="132" customFormat="1" ht="12" customHeight="1" x14ac:dyDescent="0.3">
      <c r="A323" s="137"/>
      <c r="B323" s="71" t="str">
        <f>IF(A323="","",VLOOKUP(A323,'Database Lab+Equip'!$A:$D,2,FALSE))</f>
        <v/>
      </c>
      <c r="C323" s="142"/>
      <c r="D323" s="269"/>
      <c r="E323" s="140">
        <f>IF(A323="",0,VLOOKUP(A323,'Database Lab+Equip'!$A:$D,3,FALSE))</f>
        <v>0</v>
      </c>
      <c r="F323" s="140">
        <f>IF(A323="",0,VLOOKUP(A323,'Database Lab+Equip'!$A:$D,4,FALSE))</f>
        <v>0</v>
      </c>
      <c r="G323" s="140">
        <f>IF(A323="",0,C323*D323*E323*E$317)</f>
        <v>0</v>
      </c>
      <c r="H323" s="140">
        <f>IF(A323="",0,C323*D323*F323*E$317)</f>
        <v>0</v>
      </c>
      <c r="I323" s="140">
        <f>(H323*$M$317)+H323</f>
        <v>0</v>
      </c>
      <c r="J323" s="154"/>
      <c r="K323" s="26"/>
      <c r="M323" s="122"/>
    </row>
    <row r="324" spans="1:13" s="132" customFormat="1" ht="12" customHeight="1" x14ac:dyDescent="0.3">
      <c r="A324" s="137"/>
      <c r="B324" s="71" t="str">
        <f>IF(A324="","",VLOOKUP(A324,'Database Lab+Equip'!$A:$D,2,FALSE))</f>
        <v/>
      </c>
      <c r="C324" s="142"/>
      <c r="D324" s="269"/>
      <c r="E324" s="140">
        <f>IF(A324="",0,VLOOKUP(A324,'Database Lab+Equip'!$A:$D,3,FALSE))</f>
        <v>0</v>
      </c>
      <c r="F324" s="140">
        <f>IF(A324="",0,VLOOKUP(A324,'Database Lab+Equip'!$A:$D,4,FALSE))</f>
        <v>0</v>
      </c>
      <c r="G324" s="140">
        <f>IF(A324="",0,C324*D324*E324*E$317)</f>
        <v>0</v>
      </c>
      <c r="H324" s="140">
        <f>IF(A324="",0,C324*D324*F324*E$317)</f>
        <v>0</v>
      </c>
      <c r="I324" s="140">
        <f>(H324*$M$317)+H324</f>
        <v>0</v>
      </c>
      <c r="J324" s="154"/>
      <c r="K324" s="26"/>
      <c r="M324" s="122"/>
    </row>
    <row r="325" spans="1:13" s="132" customFormat="1" ht="12" customHeight="1" x14ac:dyDescent="0.3">
      <c r="A325" s="137"/>
      <c r="B325" s="71" t="str">
        <f>IF(A325="","",VLOOKUP(A325,'Database Lab+Equip'!$A:$D,2,FALSE))</f>
        <v/>
      </c>
      <c r="C325" s="142"/>
      <c r="D325" s="269"/>
      <c r="E325" s="140">
        <f>IF(A325="",0,VLOOKUP(A325,'Database Lab+Equip'!$A:$D,3,FALSE))</f>
        <v>0</v>
      </c>
      <c r="F325" s="140">
        <f>IF(A325="",0,VLOOKUP(A325,'Database Lab+Equip'!$A:$D,4,FALSE))</f>
        <v>0</v>
      </c>
      <c r="G325" s="140">
        <f>IF(A325="",0,C325*D325*E325*E$317)</f>
        <v>0</v>
      </c>
      <c r="H325" s="140">
        <f>IF(A325="",0,C325*D325*F325*E$317)</f>
        <v>0</v>
      </c>
      <c r="I325" s="140">
        <f>(H325*$M$317)+H325</f>
        <v>0</v>
      </c>
      <c r="J325" s="152" t="s">
        <v>108</v>
      </c>
      <c r="K325" s="153" t="s">
        <v>109</v>
      </c>
      <c r="L325" s="31"/>
      <c r="M325" s="123">
        <f>SUM(I321:I325)-SUM(G321:G325)</f>
        <v>0</v>
      </c>
    </row>
    <row r="326" spans="1:13" s="132" customFormat="1" ht="12" customHeight="1" x14ac:dyDescent="0.3">
      <c r="A326" s="35"/>
      <c r="C326" s="140"/>
      <c r="D326" s="270"/>
      <c r="E326" s="140"/>
      <c r="F326" s="140"/>
      <c r="G326" s="21">
        <f>SUM(G321:G325)</f>
        <v>0</v>
      </c>
      <c r="H326" s="21">
        <f>SUM(H321:H325)</f>
        <v>0</v>
      </c>
      <c r="I326" s="21">
        <f>SUM(I321:I325)</f>
        <v>0</v>
      </c>
      <c r="J326" s="21">
        <f>G326</f>
        <v>0</v>
      </c>
      <c r="K326" s="34">
        <f>I326</f>
        <v>0</v>
      </c>
      <c r="L326" s="154">
        <f>IF(J326=0,0,(K326-J326)/J326)</f>
        <v>0</v>
      </c>
      <c r="M326" s="122"/>
    </row>
    <row r="327" spans="1:13" s="132" customFormat="1" ht="12" customHeight="1" x14ac:dyDescent="0.3">
      <c r="A327" s="35"/>
      <c r="B327" s="71"/>
      <c r="C327" s="122"/>
      <c r="D327" s="265"/>
      <c r="E327" s="122"/>
      <c r="F327" s="122"/>
      <c r="G327" s="122"/>
      <c r="H327" s="122"/>
      <c r="I327" s="144"/>
      <c r="J327" s="84"/>
      <c r="K327" s="29"/>
      <c r="L327" s="122"/>
      <c r="M327" s="122"/>
    </row>
    <row r="328" spans="1:13" s="132" customFormat="1" ht="41.4" x14ac:dyDescent="0.3">
      <c r="A328" s="246" t="s">
        <v>96</v>
      </c>
      <c r="B328" s="246" t="s">
        <v>80</v>
      </c>
      <c r="C328" s="48" t="s">
        <v>47</v>
      </c>
      <c r="D328" s="135" t="s">
        <v>110</v>
      </c>
      <c r="E328" s="48" t="s">
        <v>98</v>
      </c>
      <c r="F328" s="48" t="s">
        <v>99</v>
      </c>
      <c r="G328" s="48" t="s">
        <v>22</v>
      </c>
      <c r="H328" s="48" t="s">
        <v>23</v>
      </c>
      <c r="I328" s="135" t="s">
        <v>100</v>
      </c>
      <c r="J328" s="145"/>
      <c r="K328" s="48"/>
      <c r="L328" s="124"/>
      <c r="M328" s="124"/>
    </row>
    <row r="329" spans="1:13" s="132" customFormat="1" ht="12" customHeight="1" x14ac:dyDescent="0.3">
      <c r="A329" s="148"/>
      <c r="B329" s="71" t="str">
        <f>IF(A329="","",VLOOKUP(A329,'Database Lab+Equip'!$F:$I,2,FALSE))</f>
        <v/>
      </c>
      <c r="C329" s="139"/>
      <c r="D329" s="271"/>
      <c r="E329" s="140">
        <f>IF(A329="",0,VLOOKUP(A329,'Database Lab+Equip'!$F:$I,3,FALSE))</f>
        <v>0</v>
      </c>
      <c r="F329" s="140">
        <f>IF(A329="",0,VLOOKUP(A329,'Database Lab+Equip'!$F:$I,4,FALSE))</f>
        <v>0</v>
      </c>
      <c r="G329" s="140">
        <f>IF(A329="",0,C329*D329*E329*E$317)</f>
        <v>0</v>
      </c>
      <c r="H329" s="140">
        <f>IF(A329="",0,C329*D329*F329*E$317)</f>
        <v>0</v>
      </c>
      <c r="I329" s="140">
        <f>(H329*$M$318)+H329</f>
        <v>0</v>
      </c>
      <c r="J329" s="84"/>
      <c r="K329" s="29"/>
      <c r="L329" s="122"/>
      <c r="M329" s="84"/>
    </row>
    <row r="330" spans="1:13" s="132" customFormat="1" ht="12" customHeight="1" x14ac:dyDescent="0.3">
      <c r="A330" s="148"/>
      <c r="B330" s="71" t="str">
        <f>IF(A330="","",VLOOKUP(A330,'Database Lab+Equip'!$F:$I,2,FALSE))</f>
        <v/>
      </c>
      <c r="C330" s="142"/>
      <c r="D330" s="272"/>
      <c r="E330" s="140">
        <f>IF(A330="",0,VLOOKUP(A330,'Database Lab+Equip'!$F:$I,3,FALSE))</f>
        <v>0</v>
      </c>
      <c r="F330" s="140">
        <f>IF(A330="",0,VLOOKUP(A330,'Database Lab+Equip'!$F:$I,4,FALSE))</f>
        <v>0</v>
      </c>
      <c r="G330" s="140">
        <f t="shared" ref="G330:G336" si="33">IF(A330="",0,C330*D330*E330*E$317)</f>
        <v>0</v>
      </c>
      <c r="H330" s="140">
        <f t="shared" ref="H330:H336" si="34">IF(A330="",0,C330*D330*F330*E$317)</f>
        <v>0</v>
      </c>
      <c r="I330" s="140">
        <f t="shared" ref="I330:I336" si="35">(H330*$M$318)+H330</f>
        <v>0</v>
      </c>
      <c r="J330" s="122"/>
      <c r="K330" s="29"/>
      <c r="L330" s="122"/>
      <c r="M330" s="122"/>
    </row>
    <row r="331" spans="1:13" s="132" customFormat="1" ht="12" customHeight="1" x14ac:dyDescent="0.3">
      <c r="A331" s="148"/>
      <c r="B331" s="71" t="str">
        <f>IF(A331="","",VLOOKUP(A331,'Database Lab+Equip'!$F:$I,2,FALSE))</f>
        <v/>
      </c>
      <c r="C331" s="142"/>
      <c r="D331" s="272"/>
      <c r="E331" s="140">
        <f>IF(A331="",0,VLOOKUP(A331,'Database Lab+Equip'!$F:$I,3,FALSE))</f>
        <v>0</v>
      </c>
      <c r="F331" s="140">
        <f>IF(A331="",0,VLOOKUP(A331,'Database Lab+Equip'!$F:$I,4,FALSE))</f>
        <v>0</v>
      </c>
      <c r="G331" s="140">
        <f t="shared" si="33"/>
        <v>0</v>
      </c>
      <c r="H331" s="140">
        <f t="shared" si="34"/>
        <v>0</v>
      </c>
      <c r="I331" s="140">
        <f t="shared" si="35"/>
        <v>0</v>
      </c>
      <c r="J331" s="84"/>
      <c r="K331" s="29"/>
      <c r="L331" s="122"/>
      <c r="M331" s="122"/>
    </row>
    <row r="332" spans="1:13" s="132" customFormat="1" ht="12" customHeight="1" x14ac:dyDescent="0.3">
      <c r="A332" s="148"/>
      <c r="B332" s="71" t="str">
        <f>IF(A332="","",VLOOKUP(A332,'Database Lab+Equip'!$F:$I,2,FALSE))</f>
        <v/>
      </c>
      <c r="C332" s="142"/>
      <c r="D332" s="272"/>
      <c r="E332" s="140">
        <f>IF(A332="",0,VLOOKUP(A332,'Database Lab+Equip'!$F:$I,3,FALSE))</f>
        <v>0</v>
      </c>
      <c r="F332" s="140">
        <f>IF(A332="",0,VLOOKUP(A332,'Database Lab+Equip'!$F:$I,4,FALSE))</f>
        <v>0</v>
      </c>
      <c r="G332" s="140">
        <f t="shared" si="33"/>
        <v>0</v>
      </c>
      <c r="H332" s="140">
        <f t="shared" si="34"/>
        <v>0</v>
      </c>
      <c r="I332" s="140">
        <f t="shared" si="35"/>
        <v>0</v>
      </c>
      <c r="J332" s="84"/>
      <c r="K332" s="29"/>
      <c r="L332" s="122"/>
      <c r="M332" s="122"/>
    </row>
    <row r="333" spans="1:13" s="132" customFormat="1" ht="12" customHeight="1" x14ac:dyDescent="0.3">
      <c r="A333" s="148"/>
      <c r="B333" s="71" t="str">
        <f>IF(A333="","",VLOOKUP(A333,'Database Lab+Equip'!$F:$I,2,FALSE))</f>
        <v/>
      </c>
      <c r="C333" s="142"/>
      <c r="D333" s="272"/>
      <c r="E333" s="140">
        <f>IF(A333="",0,VLOOKUP(A333,'Database Lab+Equip'!$F:$I,3,FALSE))</f>
        <v>0</v>
      </c>
      <c r="F333" s="140">
        <f>IF(A333="",0,VLOOKUP(A333,'Database Lab+Equip'!$F:$I,4,FALSE))</f>
        <v>0</v>
      </c>
      <c r="G333" s="140">
        <f t="shared" si="33"/>
        <v>0</v>
      </c>
      <c r="H333" s="140">
        <f t="shared" si="34"/>
        <v>0</v>
      </c>
      <c r="I333" s="140">
        <f t="shared" si="35"/>
        <v>0</v>
      </c>
      <c r="J333" s="84"/>
      <c r="K333" s="29"/>
      <c r="L333" s="122"/>
      <c r="M333" s="122"/>
    </row>
    <row r="334" spans="1:13" s="132" customFormat="1" ht="12" customHeight="1" x14ac:dyDescent="0.3">
      <c r="A334" s="148"/>
      <c r="B334" s="71" t="str">
        <f>IF(A334="","",VLOOKUP(A334,'Database Lab+Equip'!$F:$I,2,FALSE))</f>
        <v/>
      </c>
      <c r="C334" s="142"/>
      <c r="D334" s="272"/>
      <c r="E334" s="140">
        <f>IF(A334="",0,VLOOKUP(A334,'Database Lab+Equip'!$F:$I,3,FALSE))</f>
        <v>0</v>
      </c>
      <c r="F334" s="140">
        <f>IF(A334="",0,VLOOKUP(A334,'Database Lab+Equip'!$F:$I,4,FALSE))</f>
        <v>0</v>
      </c>
      <c r="G334" s="140">
        <f t="shared" si="33"/>
        <v>0</v>
      </c>
      <c r="H334" s="140">
        <f t="shared" si="34"/>
        <v>0</v>
      </c>
      <c r="I334" s="140">
        <f t="shared" si="35"/>
        <v>0</v>
      </c>
      <c r="J334" s="84"/>
      <c r="K334" s="29"/>
      <c r="L334" s="122"/>
      <c r="M334" s="122"/>
    </row>
    <row r="335" spans="1:13" s="132" customFormat="1" ht="12" customHeight="1" x14ac:dyDescent="0.3">
      <c r="A335" s="148"/>
      <c r="B335" s="71" t="str">
        <f>IF(A335="","",VLOOKUP(A335,'Database Lab+Equip'!$F:$I,2,FALSE))</f>
        <v/>
      </c>
      <c r="C335" s="142"/>
      <c r="D335" s="272"/>
      <c r="E335" s="140">
        <f>IF(A335="",0,VLOOKUP(A335,'Database Lab+Equip'!$F:$I,3,FALSE))</f>
        <v>0</v>
      </c>
      <c r="F335" s="140">
        <f>IF(A335="",0,VLOOKUP(A335,'Database Lab+Equip'!$F:$I,4,FALSE))</f>
        <v>0</v>
      </c>
      <c r="G335" s="140">
        <f t="shared" si="33"/>
        <v>0</v>
      </c>
      <c r="H335" s="140">
        <f t="shared" si="34"/>
        <v>0</v>
      </c>
      <c r="I335" s="140">
        <f t="shared" si="35"/>
        <v>0</v>
      </c>
      <c r="J335" s="84"/>
      <c r="K335" s="29"/>
      <c r="L335" s="122"/>
      <c r="M335" s="122"/>
    </row>
    <row r="336" spans="1:13" s="132" customFormat="1" ht="12" customHeight="1" x14ac:dyDescent="0.3">
      <c r="A336" s="148"/>
      <c r="B336" s="71" t="str">
        <f>IF(A336="","",VLOOKUP(A336,'Database Lab+Equip'!$F:$I,2,FALSE))</f>
        <v/>
      </c>
      <c r="C336" s="150"/>
      <c r="D336" s="273"/>
      <c r="E336" s="140">
        <f>IF(A336="",0,VLOOKUP(A336,'Database Lab+Equip'!$F:$I,3,FALSE))</f>
        <v>0</v>
      </c>
      <c r="F336" s="140">
        <f>IF(A336="",0,VLOOKUP(A336,'Database Lab+Equip'!$F:$I,4,FALSE))</f>
        <v>0</v>
      </c>
      <c r="G336" s="140">
        <f t="shared" si="33"/>
        <v>0</v>
      </c>
      <c r="H336" s="140">
        <f t="shared" si="34"/>
        <v>0</v>
      </c>
      <c r="I336" s="140">
        <f t="shared" si="35"/>
        <v>0</v>
      </c>
      <c r="J336" s="152" t="s">
        <v>108</v>
      </c>
      <c r="K336" s="153" t="s">
        <v>109</v>
      </c>
      <c r="L336" s="31"/>
      <c r="M336" s="125">
        <f>SUM(I329:I336)-SUM(G329:G336)</f>
        <v>0</v>
      </c>
    </row>
    <row r="337" spans="1:13" s="132" customFormat="1" ht="12" customHeight="1" x14ac:dyDescent="0.3">
      <c r="A337" s="72"/>
      <c r="B337" s="143"/>
      <c r="C337" s="130"/>
      <c r="D337" s="265"/>
      <c r="E337" s="122"/>
      <c r="F337" s="122"/>
      <c r="G337" s="21">
        <f>SUM(G329:G336)</f>
        <v>0</v>
      </c>
      <c r="H337" s="21">
        <f>SUM(H329:H336)</f>
        <v>0</v>
      </c>
      <c r="I337" s="21">
        <f>SUM(I329:I336)</f>
        <v>0</v>
      </c>
      <c r="J337" s="21">
        <f>G337</f>
        <v>0</v>
      </c>
      <c r="K337" s="34">
        <f>I337</f>
        <v>0</v>
      </c>
      <c r="L337" s="154">
        <f>IF(J337=0,0,(K337-J337)/J337)</f>
        <v>0</v>
      </c>
      <c r="M337" s="187">
        <f>M325+M336</f>
        <v>0</v>
      </c>
    </row>
    <row r="338" spans="1:13" s="31" customFormat="1" ht="13.8" x14ac:dyDescent="0.3">
      <c r="A338" s="110"/>
      <c r="B338" s="115"/>
      <c r="C338" s="116"/>
      <c r="D338" s="274"/>
      <c r="E338" s="117"/>
      <c r="F338" s="117"/>
      <c r="G338" s="118"/>
      <c r="H338" s="110"/>
      <c r="I338" s="161"/>
      <c r="J338" s="162">
        <f>J326+J337</f>
        <v>0</v>
      </c>
      <c r="K338" s="162">
        <f>K326+K337</f>
        <v>0</v>
      </c>
      <c r="L338" s="119">
        <f>IF(J338=0,0,(K338-J338)/K338)</f>
        <v>0</v>
      </c>
      <c r="M338" s="173"/>
    </row>
    <row r="339" spans="1:13" s="31" customFormat="1" ht="13.8" x14ac:dyDescent="0.3">
      <c r="A339" s="112"/>
      <c r="B339" s="223"/>
      <c r="C339" s="214"/>
      <c r="D339" s="275"/>
      <c r="E339" s="215"/>
      <c r="F339" s="215"/>
      <c r="G339" s="216"/>
      <c r="H339" s="112"/>
      <c r="I339" s="217"/>
      <c r="J339" s="218"/>
      <c r="K339" s="218"/>
      <c r="L339" s="224"/>
      <c r="M339" s="213"/>
    </row>
    <row r="340" spans="1:13" ht="15.6" x14ac:dyDescent="0.3">
      <c r="B340" s="241" t="s">
        <v>177</v>
      </c>
      <c r="C340" s="42"/>
      <c r="D340" s="42"/>
      <c r="E340" s="42"/>
      <c r="F340" s="129"/>
      <c r="H340" s="132"/>
      <c r="I340" s="132"/>
      <c r="L340" s="221" t="s">
        <v>85</v>
      </c>
      <c r="M340" s="222"/>
    </row>
    <row r="341" spans="1:13" s="132" customFormat="1" ht="12" customHeight="1" x14ac:dyDescent="0.3">
      <c r="A341" s="72"/>
      <c r="B341" s="24" t="s">
        <v>135</v>
      </c>
      <c r="C341" s="22"/>
      <c r="D341" s="266" t="s">
        <v>87</v>
      </c>
      <c r="E341" s="23"/>
      <c r="F341" s="133"/>
      <c r="H341" s="14"/>
      <c r="I341" s="14"/>
      <c r="J341" s="14"/>
      <c r="K341" s="14"/>
      <c r="L341" s="219" t="s">
        <v>88</v>
      </c>
      <c r="M341" s="220"/>
    </row>
    <row r="342" spans="1:13" s="132" customFormat="1" ht="12" customHeight="1" x14ac:dyDescent="0.3">
      <c r="A342" s="72"/>
      <c r="B342" s="24" t="s">
        <v>141</v>
      </c>
      <c r="C342" s="25"/>
      <c r="D342" s="266" t="s">
        <v>89</v>
      </c>
      <c r="E342" s="23"/>
      <c r="K342" s="14"/>
      <c r="L342" s="126" t="s">
        <v>90</v>
      </c>
      <c r="M342" s="127"/>
    </row>
    <row r="343" spans="1:13" s="132" customFormat="1" ht="12" customHeight="1" x14ac:dyDescent="0.3">
      <c r="A343" s="72"/>
      <c r="B343" s="24" t="s">
        <v>142</v>
      </c>
      <c r="C343" s="27" t="str">
        <f>IF(C341="","",C341/E343+C342)</f>
        <v/>
      </c>
      <c r="D343" s="266" t="s">
        <v>91</v>
      </c>
      <c r="E343" s="23"/>
      <c r="I343" s="26"/>
      <c r="J343" s="26"/>
      <c r="K343" s="14"/>
      <c r="L343" s="126" t="s">
        <v>92</v>
      </c>
      <c r="M343" s="127"/>
    </row>
    <row r="344" spans="1:13" s="132" customFormat="1" ht="12" customHeight="1" x14ac:dyDescent="0.3">
      <c r="A344" s="72"/>
      <c r="B344" s="59" t="s">
        <v>143</v>
      </c>
      <c r="C344" s="260"/>
      <c r="D344" s="266" t="s">
        <v>25</v>
      </c>
      <c r="E344" s="128">
        <f>SUM(C349:C353)</f>
        <v>0</v>
      </c>
      <c r="I344" s="26"/>
      <c r="J344" s="26"/>
      <c r="K344" s="14"/>
      <c r="L344" s="93" t="s">
        <v>94</v>
      </c>
      <c r="M344" s="94"/>
    </row>
    <row r="345" spans="1:13" s="132" customFormat="1" ht="12" customHeight="1" x14ac:dyDescent="0.3">
      <c r="A345" s="72"/>
      <c r="B345" s="59" t="s">
        <v>144</v>
      </c>
      <c r="C345" s="25"/>
      <c r="D345" s="266" t="s">
        <v>44</v>
      </c>
      <c r="E345" s="244">
        <f>IF(E344=0,0,(C343/C344)/C345)</f>
        <v>0</v>
      </c>
      <c r="I345" s="26"/>
      <c r="J345" s="26"/>
      <c r="K345" s="14"/>
      <c r="L345" s="57" t="s">
        <v>70</v>
      </c>
      <c r="M345" s="58">
        <f>$M$9</f>
        <v>0.05</v>
      </c>
    </row>
    <row r="346" spans="1:13" s="132" customFormat="1" ht="12" customHeight="1" x14ac:dyDescent="0.3">
      <c r="A346" s="72"/>
      <c r="B346" s="28"/>
      <c r="C346" s="122"/>
      <c r="D346" s="267"/>
      <c r="E346" s="211"/>
      <c r="I346" s="26"/>
      <c r="J346" s="26"/>
      <c r="K346" s="14"/>
      <c r="L346" s="57" t="s">
        <v>80</v>
      </c>
      <c r="M346" s="58">
        <f>$M$10</f>
        <v>0.05</v>
      </c>
    </row>
    <row r="347" spans="1:13" s="132" customFormat="1" ht="12" customHeight="1" x14ac:dyDescent="0.3">
      <c r="A347" s="72"/>
      <c r="B347" s="28"/>
      <c r="C347" s="28"/>
      <c r="D347" s="43"/>
      <c r="H347" s="29"/>
      <c r="I347" s="29"/>
      <c r="J347" s="29"/>
      <c r="K347" s="29"/>
      <c r="M347" s="71"/>
    </row>
    <row r="348" spans="1:13" s="132" customFormat="1" ht="27.6" x14ac:dyDescent="0.3">
      <c r="A348" s="246" t="s">
        <v>145</v>
      </c>
      <c r="B348" s="246" t="s">
        <v>70</v>
      </c>
      <c r="C348" s="48" t="s">
        <v>47</v>
      </c>
      <c r="D348" s="135" t="s">
        <v>97</v>
      </c>
      <c r="E348" s="48" t="s">
        <v>98</v>
      </c>
      <c r="F348" s="48" t="s">
        <v>99</v>
      </c>
      <c r="G348" s="48" t="s">
        <v>22</v>
      </c>
      <c r="H348" s="48" t="s">
        <v>23</v>
      </c>
      <c r="I348" s="135" t="s">
        <v>100</v>
      </c>
      <c r="J348" s="136"/>
      <c r="K348" s="52"/>
      <c r="L348" s="48" t="s">
        <v>101</v>
      </c>
      <c r="M348" s="48" t="s">
        <v>0</v>
      </c>
    </row>
    <row r="349" spans="1:13" s="132" customFormat="1" ht="12" customHeight="1" x14ac:dyDescent="0.3">
      <c r="A349" s="137"/>
      <c r="B349" s="71" t="str">
        <f>IF(A349="","",VLOOKUP(A349,'Database Lab+Equip'!$A:$D,2,FALSE))</f>
        <v/>
      </c>
      <c r="C349" s="139"/>
      <c r="D349" s="268"/>
      <c r="E349" s="140">
        <f>IF(A349="",0,VLOOKUP(A349,'Database Lab+Equip'!$A:$D,3,FALSE))</f>
        <v>0</v>
      </c>
      <c r="F349" s="140">
        <f>IF(A349="",0,VLOOKUP(A349,'Database Lab+Equip'!$A:$D,4,FALSE))</f>
        <v>0</v>
      </c>
      <c r="G349" s="140">
        <f>IF(A349="",0,C349*D349*E349*E$345)</f>
        <v>0</v>
      </c>
      <c r="H349" s="140">
        <f>IF(A349="",0,C349*D349*F349*E$345)</f>
        <v>0</v>
      </c>
      <c r="I349" s="140">
        <f>(H349*$M$345)+H349</f>
        <v>0</v>
      </c>
      <c r="J349" s="154"/>
      <c r="K349" s="26"/>
      <c r="M349" s="84"/>
    </row>
    <row r="350" spans="1:13" s="132" customFormat="1" ht="12" customHeight="1" x14ac:dyDescent="0.3">
      <c r="A350" s="137"/>
      <c r="B350" s="71" t="str">
        <f>IF(A350="","",VLOOKUP(A350,'Database Lab+Equip'!$A:$D,2,FALSE))</f>
        <v/>
      </c>
      <c r="C350" s="142"/>
      <c r="D350" s="269"/>
      <c r="E350" s="140">
        <f>IF(A350="",0,VLOOKUP(A350,'Database Lab+Equip'!$A:$D,3,FALSE))</f>
        <v>0</v>
      </c>
      <c r="F350" s="140">
        <f>IF(A350="",0,VLOOKUP(A350,'Database Lab+Equip'!$A:$D,4,FALSE))</f>
        <v>0</v>
      </c>
      <c r="G350" s="140">
        <f>IF(A350="",0,C350*D350*E350*E$345)</f>
        <v>0</v>
      </c>
      <c r="H350" s="140">
        <f>IF(A350="",0,C350*D350*F350*E$345)</f>
        <v>0</v>
      </c>
      <c r="I350" s="140">
        <f>(H350*$M$345)+H350</f>
        <v>0</v>
      </c>
      <c r="J350" s="154"/>
      <c r="K350" s="26"/>
      <c r="M350" s="122"/>
    </row>
    <row r="351" spans="1:13" s="132" customFormat="1" ht="12" customHeight="1" x14ac:dyDescent="0.3">
      <c r="A351" s="137"/>
      <c r="B351" s="71" t="str">
        <f>IF(A351="","",VLOOKUP(A351,'Database Lab+Equip'!$A:$D,2,FALSE))</f>
        <v/>
      </c>
      <c r="C351" s="142"/>
      <c r="D351" s="269"/>
      <c r="E351" s="140">
        <f>IF(A351="",0,VLOOKUP(A351,'Database Lab+Equip'!$A:$D,3,FALSE))</f>
        <v>0</v>
      </c>
      <c r="F351" s="140">
        <f>IF(A351="",0,VLOOKUP(A351,'Database Lab+Equip'!$A:$D,4,FALSE))</f>
        <v>0</v>
      </c>
      <c r="G351" s="140">
        <f>IF(A351="",0,C351*D351*E351*E$345)</f>
        <v>0</v>
      </c>
      <c r="H351" s="140">
        <f>IF(A351="",0,C351*D351*F351*E$345)</f>
        <v>0</v>
      </c>
      <c r="I351" s="140">
        <f>(H351*$M$345)+H351</f>
        <v>0</v>
      </c>
      <c r="J351" s="154"/>
      <c r="K351" s="26"/>
      <c r="M351" s="122"/>
    </row>
    <row r="352" spans="1:13" s="132" customFormat="1" ht="12" customHeight="1" x14ac:dyDescent="0.3">
      <c r="A352" s="137"/>
      <c r="B352" s="71" t="str">
        <f>IF(A352="","",VLOOKUP(A352,'Database Lab+Equip'!$A:$D,2,FALSE))</f>
        <v/>
      </c>
      <c r="C352" s="142"/>
      <c r="D352" s="269"/>
      <c r="E352" s="140">
        <f>IF(A352="",0,VLOOKUP(A352,'Database Lab+Equip'!$A:$D,3,FALSE))</f>
        <v>0</v>
      </c>
      <c r="F352" s="140">
        <f>IF(A352="",0,VLOOKUP(A352,'Database Lab+Equip'!$A:$D,4,FALSE))</f>
        <v>0</v>
      </c>
      <c r="G352" s="140">
        <f>IF(A352="",0,C352*D352*E352*E$345)</f>
        <v>0</v>
      </c>
      <c r="H352" s="140">
        <f>IF(A352="",0,C352*D352*F352*E$345)</f>
        <v>0</v>
      </c>
      <c r="I352" s="140">
        <f>(H352*$M$345)+H352</f>
        <v>0</v>
      </c>
      <c r="J352" s="154"/>
      <c r="K352" s="26"/>
      <c r="M352" s="122"/>
    </row>
    <row r="353" spans="1:13" s="132" customFormat="1" ht="12" customHeight="1" x14ac:dyDescent="0.3">
      <c r="A353" s="137"/>
      <c r="B353" s="71" t="str">
        <f>IF(A353="","",VLOOKUP(A353,'Database Lab+Equip'!$A:$D,2,FALSE))</f>
        <v/>
      </c>
      <c r="C353" s="142"/>
      <c r="D353" s="269"/>
      <c r="E353" s="140">
        <f>IF(A353="",0,VLOOKUP(A353,'Database Lab+Equip'!$A:$D,3,FALSE))</f>
        <v>0</v>
      </c>
      <c r="F353" s="140">
        <f>IF(A353="",0,VLOOKUP(A353,'Database Lab+Equip'!$A:$D,4,FALSE))</f>
        <v>0</v>
      </c>
      <c r="G353" s="140">
        <f>IF(A353="",0,C353*D353*E353*E$345)</f>
        <v>0</v>
      </c>
      <c r="H353" s="140">
        <f>IF(A353="",0,C353*D353*F353*E$345)</f>
        <v>0</v>
      </c>
      <c r="I353" s="140">
        <f>(H353*$M$345)+H353</f>
        <v>0</v>
      </c>
      <c r="J353" s="152" t="s">
        <v>108</v>
      </c>
      <c r="K353" s="153" t="s">
        <v>109</v>
      </c>
      <c r="L353" s="31"/>
      <c r="M353" s="123">
        <f>SUM(I349:I353)-SUM(G349:G353)</f>
        <v>0</v>
      </c>
    </row>
    <row r="354" spans="1:13" s="132" customFormat="1" ht="12" customHeight="1" x14ac:dyDescent="0.3">
      <c r="A354" s="35"/>
      <c r="C354" s="140"/>
      <c r="D354" s="270"/>
      <c r="E354" s="140"/>
      <c r="F354" s="140"/>
      <c r="G354" s="21">
        <f>SUM(G349:G353)</f>
        <v>0</v>
      </c>
      <c r="H354" s="21">
        <f>SUM(H349:H353)</f>
        <v>0</v>
      </c>
      <c r="I354" s="21">
        <f>SUM(I349:I353)</f>
        <v>0</v>
      </c>
      <c r="J354" s="21">
        <f>G354</f>
        <v>0</v>
      </c>
      <c r="K354" s="34">
        <f>I354</f>
        <v>0</v>
      </c>
      <c r="L354" s="154">
        <f>IF(J354=0,0,(K354-J354)/J354)</f>
        <v>0</v>
      </c>
      <c r="M354" s="122"/>
    </row>
    <row r="355" spans="1:13" s="132" customFormat="1" ht="12" customHeight="1" x14ac:dyDescent="0.3">
      <c r="A355" s="35"/>
      <c r="B355" s="71"/>
      <c r="C355" s="122"/>
      <c r="D355" s="265"/>
      <c r="E355" s="122"/>
      <c r="F355" s="122"/>
      <c r="G355" s="122"/>
      <c r="H355" s="122"/>
      <c r="I355" s="144"/>
      <c r="J355" s="84"/>
      <c r="K355" s="29"/>
      <c r="L355" s="122"/>
      <c r="M355" s="122"/>
    </row>
    <row r="356" spans="1:13" s="132" customFormat="1" ht="41.4" x14ac:dyDescent="0.3">
      <c r="A356" s="246" t="s">
        <v>96</v>
      </c>
      <c r="B356" s="246" t="s">
        <v>80</v>
      </c>
      <c r="C356" s="48" t="s">
        <v>47</v>
      </c>
      <c r="D356" s="135" t="s">
        <v>110</v>
      </c>
      <c r="E356" s="48" t="s">
        <v>98</v>
      </c>
      <c r="F356" s="48" t="s">
        <v>99</v>
      </c>
      <c r="G356" s="48" t="s">
        <v>22</v>
      </c>
      <c r="H356" s="48" t="s">
        <v>23</v>
      </c>
      <c r="I356" s="135" t="s">
        <v>100</v>
      </c>
      <c r="J356" s="145"/>
      <c r="K356" s="48"/>
      <c r="L356" s="124"/>
      <c r="M356" s="124"/>
    </row>
    <row r="357" spans="1:13" s="132" customFormat="1" ht="12" customHeight="1" x14ac:dyDescent="0.3">
      <c r="A357" s="148"/>
      <c r="B357" s="71" t="str">
        <f>IF(A357="","",VLOOKUP(A357,'Database Lab+Equip'!$F:$I,2,FALSE))</f>
        <v/>
      </c>
      <c r="C357" s="139"/>
      <c r="D357" s="271"/>
      <c r="E357" s="140">
        <f>IF(A357="",0,VLOOKUP(A357,'Database Lab+Equip'!$F:$I,3,FALSE))</f>
        <v>0</v>
      </c>
      <c r="F357" s="140">
        <f>IF(A357="",0,VLOOKUP(A357,'Database Lab+Equip'!$F:$I,4,FALSE))</f>
        <v>0</v>
      </c>
      <c r="G357" s="140">
        <f>IF(A357="",0,C357*D357*E357*E$345)</f>
        <v>0</v>
      </c>
      <c r="H357" s="140">
        <f>IF(A357="",0,C357*D357*F357*E$345)</f>
        <v>0</v>
      </c>
      <c r="I357" s="140">
        <f>(H357*$M$346)+H357</f>
        <v>0</v>
      </c>
      <c r="J357" s="84"/>
      <c r="K357" s="29"/>
      <c r="L357" s="122"/>
      <c r="M357" s="84"/>
    </row>
    <row r="358" spans="1:13" s="132" customFormat="1" ht="12" customHeight="1" x14ac:dyDescent="0.3">
      <c r="A358" s="148"/>
      <c r="B358" s="71" t="str">
        <f>IF(A358="","",VLOOKUP(A358,'Database Lab+Equip'!$F:$I,2,FALSE))</f>
        <v/>
      </c>
      <c r="C358" s="142"/>
      <c r="D358" s="272"/>
      <c r="E358" s="140">
        <f>IF(A358="",0,VLOOKUP(A358,'Database Lab+Equip'!$F:$I,3,FALSE))</f>
        <v>0</v>
      </c>
      <c r="F358" s="140">
        <f>IF(A358="",0,VLOOKUP(A358,'Database Lab+Equip'!$F:$I,4,FALSE))</f>
        <v>0</v>
      </c>
      <c r="G358" s="140">
        <f t="shared" ref="G358:G364" si="36">IF(A358="",0,C358*D358*E358*E$345)</f>
        <v>0</v>
      </c>
      <c r="H358" s="140">
        <f t="shared" ref="H358:H364" si="37">IF(A358="",0,C358*D358*F358*E$345)</f>
        <v>0</v>
      </c>
      <c r="I358" s="140">
        <f t="shared" ref="I358:I364" si="38">(H358*$M$346)+H358</f>
        <v>0</v>
      </c>
      <c r="J358" s="122"/>
      <c r="K358" s="29"/>
      <c r="L358" s="122"/>
      <c r="M358" s="122"/>
    </row>
    <row r="359" spans="1:13" s="132" customFormat="1" ht="12" customHeight="1" x14ac:dyDescent="0.3">
      <c r="A359" s="148"/>
      <c r="B359" s="71" t="str">
        <f>IF(A359="","",VLOOKUP(A359,'Database Lab+Equip'!$F:$I,2,FALSE))</f>
        <v/>
      </c>
      <c r="C359" s="142"/>
      <c r="D359" s="272"/>
      <c r="E359" s="140">
        <f>IF(A359="",0,VLOOKUP(A359,'Database Lab+Equip'!$F:$I,3,FALSE))</f>
        <v>0</v>
      </c>
      <c r="F359" s="140">
        <f>IF(A359="",0,VLOOKUP(A359,'Database Lab+Equip'!$F:$I,4,FALSE))</f>
        <v>0</v>
      </c>
      <c r="G359" s="140">
        <f t="shared" si="36"/>
        <v>0</v>
      </c>
      <c r="H359" s="140">
        <f t="shared" si="37"/>
        <v>0</v>
      </c>
      <c r="I359" s="140">
        <f t="shared" si="38"/>
        <v>0</v>
      </c>
      <c r="J359" s="84"/>
      <c r="K359" s="29"/>
      <c r="L359" s="122"/>
      <c r="M359" s="122"/>
    </row>
    <row r="360" spans="1:13" s="132" customFormat="1" ht="12" customHeight="1" x14ac:dyDescent="0.3">
      <c r="A360" s="148"/>
      <c r="B360" s="71" t="str">
        <f>IF(A360="","",VLOOKUP(A360,'Database Lab+Equip'!$F:$I,2,FALSE))</f>
        <v/>
      </c>
      <c r="C360" s="142"/>
      <c r="D360" s="272"/>
      <c r="E360" s="140">
        <f>IF(A360="",0,VLOOKUP(A360,'Database Lab+Equip'!$F:$I,3,FALSE))</f>
        <v>0</v>
      </c>
      <c r="F360" s="140">
        <f>IF(A360="",0,VLOOKUP(A360,'Database Lab+Equip'!$F:$I,4,FALSE))</f>
        <v>0</v>
      </c>
      <c r="G360" s="140">
        <f t="shared" si="36"/>
        <v>0</v>
      </c>
      <c r="H360" s="140">
        <f t="shared" si="37"/>
        <v>0</v>
      </c>
      <c r="I360" s="140">
        <f t="shared" si="38"/>
        <v>0</v>
      </c>
      <c r="J360" s="84"/>
      <c r="K360" s="29"/>
      <c r="L360" s="122"/>
      <c r="M360" s="122"/>
    </row>
    <row r="361" spans="1:13" s="132" customFormat="1" ht="12" customHeight="1" x14ac:dyDescent="0.3">
      <c r="A361" s="148"/>
      <c r="B361" s="71" t="str">
        <f>IF(A361="","",VLOOKUP(A361,'Database Lab+Equip'!$F:$I,2,FALSE))</f>
        <v/>
      </c>
      <c r="C361" s="142"/>
      <c r="D361" s="272"/>
      <c r="E361" s="140">
        <f>IF(A361="",0,VLOOKUP(A361,'Database Lab+Equip'!$F:$I,3,FALSE))</f>
        <v>0</v>
      </c>
      <c r="F361" s="140">
        <f>IF(A361="",0,VLOOKUP(A361,'Database Lab+Equip'!$F:$I,4,FALSE))</f>
        <v>0</v>
      </c>
      <c r="G361" s="140">
        <f t="shared" si="36"/>
        <v>0</v>
      </c>
      <c r="H361" s="140">
        <f t="shared" si="37"/>
        <v>0</v>
      </c>
      <c r="I361" s="140">
        <f t="shared" si="38"/>
        <v>0</v>
      </c>
      <c r="J361" s="84"/>
      <c r="K361" s="29"/>
      <c r="L361" s="122"/>
      <c r="M361" s="122"/>
    </row>
    <row r="362" spans="1:13" s="132" customFormat="1" ht="12" customHeight="1" x14ac:dyDescent="0.3">
      <c r="A362" s="148"/>
      <c r="B362" s="71" t="str">
        <f>IF(A362="","",VLOOKUP(A362,'Database Lab+Equip'!$F:$I,2,FALSE))</f>
        <v/>
      </c>
      <c r="C362" s="142"/>
      <c r="D362" s="272"/>
      <c r="E362" s="140">
        <f>IF(A362="",0,VLOOKUP(A362,'Database Lab+Equip'!$F:$I,3,FALSE))</f>
        <v>0</v>
      </c>
      <c r="F362" s="140">
        <f>IF(A362="",0,VLOOKUP(A362,'Database Lab+Equip'!$F:$I,4,FALSE))</f>
        <v>0</v>
      </c>
      <c r="G362" s="140">
        <f t="shared" si="36"/>
        <v>0</v>
      </c>
      <c r="H362" s="140">
        <f t="shared" si="37"/>
        <v>0</v>
      </c>
      <c r="I362" s="140">
        <f t="shared" si="38"/>
        <v>0</v>
      </c>
      <c r="J362" s="84"/>
      <c r="K362" s="29"/>
      <c r="L362" s="122"/>
      <c r="M362" s="122"/>
    </row>
    <row r="363" spans="1:13" s="132" customFormat="1" ht="12" customHeight="1" x14ac:dyDescent="0.3">
      <c r="A363" s="148"/>
      <c r="B363" s="71" t="str">
        <f>IF(A363="","",VLOOKUP(A363,'Database Lab+Equip'!$F:$I,2,FALSE))</f>
        <v/>
      </c>
      <c r="C363" s="142"/>
      <c r="D363" s="272"/>
      <c r="E363" s="140">
        <f>IF(A363="",0,VLOOKUP(A363,'Database Lab+Equip'!$F:$I,3,FALSE))</f>
        <v>0</v>
      </c>
      <c r="F363" s="140">
        <f>IF(A363="",0,VLOOKUP(A363,'Database Lab+Equip'!$F:$I,4,FALSE))</f>
        <v>0</v>
      </c>
      <c r="G363" s="140">
        <f t="shared" si="36"/>
        <v>0</v>
      </c>
      <c r="H363" s="140">
        <f t="shared" si="37"/>
        <v>0</v>
      </c>
      <c r="I363" s="140">
        <f t="shared" si="38"/>
        <v>0</v>
      </c>
      <c r="J363" s="84"/>
      <c r="K363" s="29"/>
      <c r="L363" s="122"/>
      <c r="M363" s="122"/>
    </row>
    <row r="364" spans="1:13" s="132" customFormat="1" ht="12" customHeight="1" x14ac:dyDescent="0.3">
      <c r="A364" s="148"/>
      <c r="B364" s="71" t="str">
        <f>IF(A364="","",VLOOKUP(A364,'Database Lab+Equip'!$F:$I,2,FALSE))</f>
        <v/>
      </c>
      <c r="C364" s="150"/>
      <c r="D364" s="273"/>
      <c r="E364" s="140">
        <f>IF(A364="",0,VLOOKUP(A364,'Database Lab+Equip'!$F:$I,3,FALSE))</f>
        <v>0</v>
      </c>
      <c r="F364" s="140">
        <f>IF(A364="",0,VLOOKUP(A364,'Database Lab+Equip'!$F:$I,4,FALSE))</f>
        <v>0</v>
      </c>
      <c r="G364" s="140">
        <f t="shared" si="36"/>
        <v>0</v>
      </c>
      <c r="H364" s="140">
        <f t="shared" si="37"/>
        <v>0</v>
      </c>
      <c r="I364" s="140">
        <f t="shared" si="38"/>
        <v>0</v>
      </c>
      <c r="J364" s="152" t="s">
        <v>108</v>
      </c>
      <c r="K364" s="153" t="s">
        <v>109</v>
      </c>
      <c r="L364" s="31"/>
      <c r="M364" s="125">
        <f>SUM(I357:I364)-SUM(G357:G364)</f>
        <v>0</v>
      </c>
    </row>
    <row r="365" spans="1:13" s="132" customFormat="1" ht="12" customHeight="1" x14ac:dyDescent="0.3">
      <c r="A365" s="72"/>
      <c r="B365" s="143"/>
      <c r="C365" s="130"/>
      <c r="D365" s="265"/>
      <c r="E365" s="122"/>
      <c r="F365" s="122"/>
      <c r="G365" s="21">
        <f>SUM(G357:G364)</f>
        <v>0</v>
      </c>
      <c r="H365" s="21">
        <f>SUM(H357:H364)</f>
        <v>0</v>
      </c>
      <c r="I365" s="21">
        <f>SUM(I357:I364)</f>
        <v>0</v>
      </c>
      <c r="J365" s="21">
        <f>G365</f>
        <v>0</v>
      </c>
      <c r="K365" s="34">
        <f>I365</f>
        <v>0</v>
      </c>
      <c r="L365" s="154">
        <f>IF(J365=0,0,(K365-J365)/J365)</f>
        <v>0</v>
      </c>
      <c r="M365" s="187">
        <f>M353+M364</f>
        <v>0</v>
      </c>
    </row>
    <row r="366" spans="1:13" s="31" customFormat="1" ht="13.8" x14ac:dyDescent="0.3">
      <c r="A366" s="110"/>
      <c r="B366" s="115"/>
      <c r="C366" s="116"/>
      <c r="D366" s="274"/>
      <c r="E366" s="117"/>
      <c r="F366" s="117"/>
      <c r="G366" s="118"/>
      <c r="H366" s="110"/>
      <c r="I366" s="161"/>
      <c r="J366" s="162">
        <f>J354+J365</f>
        <v>0</v>
      </c>
      <c r="K366" s="162">
        <f>K354+K365</f>
        <v>0</v>
      </c>
      <c r="L366" s="119">
        <f>IF(J366=0,0,(K366-J366)/K366)</f>
        <v>0</v>
      </c>
      <c r="M366" s="173"/>
    </row>
    <row r="367" spans="1:13" s="31" customFormat="1" ht="13.8" x14ac:dyDescent="0.3">
      <c r="A367" s="112"/>
      <c r="B367" s="223"/>
      <c r="C367" s="214"/>
      <c r="D367" s="275"/>
      <c r="E367" s="215"/>
      <c r="F367" s="215"/>
      <c r="G367" s="216"/>
      <c r="H367" s="112"/>
      <c r="I367" s="217"/>
      <c r="J367" s="218"/>
      <c r="K367" s="218"/>
      <c r="L367" s="224"/>
      <c r="M367" s="213"/>
    </row>
    <row r="368" spans="1:13" ht="15.6" x14ac:dyDescent="0.3">
      <c r="B368" s="241" t="s">
        <v>163</v>
      </c>
      <c r="C368" s="42"/>
      <c r="D368" s="42"/>
      <c r="E368" s="42"/>
      <c r="F368" s="129"/>
      <c r="H368" s="132"/>
      <c r="I368" s="132"/>
      <c r="L368" s="221" t="s">
        <v>85</v>
      </c>
      <c r="M368" s="222"/>
    </row>
    <row r="369" spans="1:13" s="132" customFormat="1" ht="12" customHeight="1" x14ac:dyDescent="0.3">
      <c r="A369" s="72"/>
      <c r="B369" s="24" t="s">
        <v>135</v>
      </c>
      <c r="C369" s="22"/>
      <c r="D369" s="266" t="s">
        <v>87</v>
      </c>
      <c r="E369" s="23"/>
      <c r="F369" s="133"/>
      <c r="H369" s="14"/>
      <c r="I369" s="14"/>
      <c r="J369" s="14"/>
      <c r="K369" s="14"/>
      <c r="L369" s="219" t="s">
        <v>88</v>
      </c>
      <c r="M369" s="220"/>
    </row>
    <row r="370" spans="1:13" s="132" customFormat="1" ht="12" customHeight="1" x14ac:dyDescent="0.3">
      <c r="A370" s="72"/>
      <c r="B370" s="24" t="s">
        <v>141</v>
      </c>
      <c r="C370" s="25"/>
      <c r="D370" s="266" t="s">
        <v>89</v>
      </c>
      <c r="E370" s="23"/>
      <c r="K370" s="14"/>
      <c r="L370" s="126" t="s">
        <v>90</v>
      </c>
      <c r="M370" s="127"/>
    </row>
    <row r="371" spans="1:13" s="132" customFormat="1" ht="12" customHeight="1" x14ac:dyDescent="0.3">
      <c r="A371" s="72"/>
      <c r="B371" s="24" t="s">
        <v>142</v>
      </c>
      <c r="C371" s="27" t="str">
        <f>IF(C369="","",C369/E371+C370)</f>
        <v/>
      </c>
      <c r="D371" s="266" t="s">
        <v>91</v>
      </c>
      <c r="E371" s="23"/>
      <c r="I371" s="26"/>
      <c r="J371" s="26"/>
      <c r="K371" s="14"/>
      <c r="L371" s="126" t="s">
        <v>92</v>
      </c>
      <c r="M371" s="127"/>
    </row>
    <row r="372" spans="1:13" s="132" customFormat="1" ht="12" customHeight="1" x14ac:dyDescent="0.3">
      <c r="A372" s="72"/>
      <c r="B372" s="59" t="s">
        <v>143</v>
      </c>
      <c r="C372" s="260"/>
      <c r="D372" s="266" t="s">
        <v>25</v>
      </c>
      <c r="E372" s="128">
        <f>SUM(C377:C381)</f>
        <v>0</v>
      </c>
      <c r="I372" s="26"/>
      <c r="J372" s="26"/>
      <c r="K372" s="14"/>
      <c r="L372" s="93" t="s">
        <v>94</v>
      </c>
      <c r="M372" s="94"/>
    </row>
    <row r="373" spans="1:13" s="132" customFormat="1" ht="12" customHeight="1" x14ac:dyDescent="0.3">
      <c r="A373" s="72"/>
      <c r="B373" s="59" t="s">
        <v>144</v>
      </c>
      <c r="C373" s="25"/>
      <c r="D373" s="266" t="s">
        <v>44</v>
      </c>
      <c r="E373" s="244">
        <f>IF(E372=0,0,(C371/C372)/C373)</f>
        <v>0</v>
      </c>
      <c r="I373" s="26"/>
      <c r="J373" s="26"/>
      <c r="K373" s="14"/>
      <c r="L373" s="57" t="s">
        <v>70</v>
      </c>
      <c r="M373" s="58">
        <f>$M$9</f>
        <v>0.05</v>
      </c>
    </row>
    <row r="374" spans="1:13" s="132" customFormat="1" ht="12" customHeight="1" x14ac:dyDescent="0.3">
      <c r="A374" s="72"/>
      <c r="B374" s="28"/>
      <c r="C374" s="122"/>
      <c r="D374" s="267"/>
      <c r="E374" s="211"/>
      <c r="I374" s="26"/>
      <c r="J374" s="26"/>
      <c r="K374" s="14"/>
      <c r="L374" s="57" t="s">
        <v>80</v>
      </c>
      <c r="M374" s="58">
        <f>$M$10</f>
        <v>0.05</v>
      </c>
    </row>
    <row r="375" spans="1:13" s="132" customFormat="1" ht="12" customHeight="1" x14ac:dyDescent="0.3">
      <c r="A375" s="72"/>
      <c r="B375" s="28"/>
      <c r="C375" s="28"/>
      <c r="D375" s="43"/>
      <c r="H375" s="29"/>
      <c r="I375" s="29"/>
      <c r="J375" s="29"/>
      <c r="K375" s="29"/>
      <c r="M375" s="71"/>
    </row>
    <row r="376" spans="1:13" s="132" customFormat="1" ht="27.6" x14ac:dyDescent="0.3">
      <c r="A376" s="246" t="s">
        <v>145</v>
      </c>
      <c r="B376" s="246" t="s">
        <v>70</v>
      </c>
      <c r="C376" s="48" t="s">
        <v>47</v>
      </c>
      <c r="D376" s="135" t="s">
        <v>97</v>
      </c>
      <c r="E376" s="48" t="s">
        <v>98</v>
      </c>
      <c r="F376" s="48" t="s">
        <v>99</v>
      </c>
      <c r="G376" s="48" t="s">
        <v>22</v>
      </c>
      <c r="H376" s="48" t="s">
        <v>23</v>
      </c>
      <c r="I376" s="135" t="s">
        <v>100</v>
      </c>
      <c r="J376" s="136"/>
      <c r="K376" s="52"/>
      <c r="L376" s="48" t="s">
        <v>101</v>
      </c>
      <c r="M376" s="48" t="s">
        <v>0</v>
      </c>
    </row>
    <row r="377" spans="1:13" s="132" customFormat="1" ht="12" customHeight="1" x14ac:dyDescent="0.3">
      <c r="A377" s="137"/>
      <c r="B377" s="71" t="str">
        <f>IF(A377="","",VLOOKUP(A377,'Database Lab+Equip'!$A:$D,2,FALSE))</f>
        <v/>
      </c>
      <c r="C377" s="139"/>
      <c r="D377" s="268"/>
      <c r="E377" s="140">
        <f>IF(A377="",0,VLOOKUP(A377,'Database Lab+Equip'!$A:$D,3,FALSE))</f>
        <v>0</v>
      </c>
      <c r="F377" s="140">
        <f>IF(A377="",0,VLOOKUP(A377,'Database Lab+Equip'!$A:$D,4,FALSE))</f>
        <v>0</v>
      </c>
      <c r="G377" s="140">
        <f>IF(A377="",0,C377*D377*E377*E$373)</f>
        <v>0</v>
      </c>
      <c r="H377" s="140">
        <f>IF(A377="",0,C377*D377*F377*E$373)</f>
        <v>0</v>
      </c>
      <c r="I377" s="140">
        <f>(H377*$M$373)+H377</f>
        <v>0</v>
      </c>
      <c r="J377" s="154"/>
      <c r="K377" s="26"/>
      <c r="M377" s="84"/>
    </row>
    <row r="378" spans="1:13" s="132" customFormat="1" ht="12" customHeight="1" x14ac:dyDescent="0.3">
      <c r="A378" s="137"/>
      <c r="B378" s="71" t="str">
        <f>IF(A378="","",VLOOKUP(A378,'Database Lab+Equip'!$A:$D,2,FALSE))</f>
        <v/>
      </c>
      <c r="C378" s="142"/>
      <c r="D378" s="269"/>
      <c r="E378" s="140">
        <f>IF(A378="",0,VLOOKUP(A378,'Database Lab+Equip'!$A:$D,3,FALSE))</f>
        <v>0</v>
      </c>
      <c r="F378" s="140">
        <f>IF(A378="",0,VLOOKUP(A378,'Database Lab+Equip'!$A:$D,4,FALSE))</f>
        <v>0</v>
      </c>
      <c r="G378" s="140">
        <f>IF(A378="",0,C378*D378*E378*E$373)</f>
        <v>0</v>
      </c>
      <c r="H378" s="140">
        <f>IF(A378="",0,C378*D378*F378*E$373)</f>
        <v>0</v>
      </c>
      <c r="I378" s="140">
        <f>(H378*$M$373)+H378</f>
        <v>0</v>
      </c>
      <c r="J378" s="154"/>
      <c r="K378" s="26"/>
      <c r="M378" s="122"/>
    </row>
    <row r="379" spans="1:13" s="132" customFormat="1" ht="12" customHeight="1" x14ac:dyDescent="0.3">
      <c r="A379" s="137"/>
      <c r="B379" s="71" t="str">
        <f>IF(A379="","",VLOOKUP(A379,'Database Lab+Equip'!$A:$D,2,FALSE))</f>
        <v/>
      </c>
      <c r="C379" s="142"/>
      <c r="D379" s="269"/>
      <c r="E379" s="140">
        <f>IF(A379="",0,VLOOKUP(A379,'Database Lab+Equip'!$A:$D,3,FALSE))</f>
        <v>0</v>
      </c>
      <c r="F379" s="140">
        <f>IF(A379="",0,VLOOKUP(A379,'Database Lab+Equip'!$A:$D,4,FALSE))</f>
        <v>0</v>
      </c>
      <c r="G379" s="140">
        <f>IF(A379="",0,C379*D379*E379*E$373)</f>
        <v>0</v>
      </c>
      <c r="H379" s="140">
        <f>IF(A379="",0,C379*D379*F379*E$373)</f>
        <v>0</v>
      </c>
      <c r="I379" s="140">
        <f>(H379*$M$373)+H379</f>
        <v>0</v>
      </c>
      <c r="J379" s="154"/>
      <c r="K379" s="26"/>
      <c r="M379" s="122"/>
    </row>
    <row r="380" spans="1:13" s="132" customFormat="1" ht="12" customHeight="1" x14ac:dyDescent="0.3">
      <c r="A380" s="137"/>
      <c r="B380" s="71" t="str">
        <f>IF(A380="","",VLOOKUP(A380,'Database Lab+Equip'!$A:$D,2,FALSE))</f>
        <v/>
      </c>
      <c r="C380" s="142"/>
      <c r="D380" s="269"/>
      <c r="E380" s="140">
        <f>IF(A380="",0,VLOOKUP(A380,'Database Lab+Equip'!$A:$D,3,FALSE))</f>
        <v>0</v>
      </c>
      <c r="F380" s="140">
        <f>IF(A380="",0,VLOOKUP(A380,'Database Lab+Equip'!$A:$D,4,FALSE))</f>
        <v>0</v>
      </c>
      <c r="G380" s="140">
        <f>IF(A380="",0,C380*D380*E380*E$373)</f>
        <v>0</v>
      </c>
      <c r="H380" s="140">
        <f>IF(A380="",0,C380*D380*F380*E$373)</f>
        <v>0</v>
      </c>
      <c r="I380" s="140">
        <f>(H380*$M$373)+H380</f>
        <v>0</v>
      </c>
      <c r="J380" s="154"/>
      <c r="K380" s="26"/>
      <c r="M380" s="122"/>
    </row>
    <row r="381" spans="1:13" s="132" customFormat="1" ht="12" customHeight="1" x14ac:dyDescent="0.3">
      <c r="A381" s="137"/>
      <c r="B381" s="71" t="str">
        <f>IF(A381="","",VLOOKUP(A381,'Database Lab+Equip'!$A:$D,2,FALSE))</f>
        <v/>
      </c>
      <c r="C381" s="142"/>
      <c r="D381" s="269"/>
      <c r="E381" s="140">
        <f>IF(A381="",0,VLOOKUP(A381,'Database Lab+Equip'!$A:$D,3,FALSE))</f>
        <v>0</v>
      </c>
      <c r="F381" s="140">
        <f>IF(A381="",0,VLOOKUP(A381,'Database Lab+Equip'!$A:$D,4,FALSE))</f>
        <v>0</v>
      </c>
      <c r="G381" s="140">
        <f>IF(A381="",0,C381*D381*E381*E$373)</f>
        <v>0</v>
      </c>
      <c r="H381" s="140">
        <f>IF(A381="",0,C381*D381*F381*E$373)</f>
        <v>0</v>
      </c>
      <c r="I381" s="140">
        <f>(H381*$M$373)+H381</f>
        <v>0</v>
      </c>
      <c r="J381" s="152" t="s">
        <v>108</v>
      </c>
      <c r="K381" s="153" t="s">
        <v>109</v>
      </c>
      <c r="L381" s="31"/>
      <c r="M381" s="123">
        <f>SUM(I377:I381)-SUM(G377:G381)</f>
        <v>0</v>
      </c>
    </row>
    <row r="382" spans="1:13" s="132" customFormat="1" ht="12" customHeight="1" x14ac:dyDescent="0.3">
      <c r="A382" s="35"/>
      <c r="C382" s="140"/>
      <c r="D382" s="270"/>
      <c r="E382" s="140"/>
      <c r="F382" s="140"/>
      <c r="G382" s="21">
        <f>SUM(G377:G381)</f>
        <v>0</v>
      </c>
      <c r="H382" s="21">
        <f>SUM(H377:H381)</f>
        <v>0</v>
      </c>
      <c r="I382" s="21">
        <f>SUM(I377:I381)</f>
        <v>0</v>
      </c>
      <c r="J382" s="21">
        <f>G382</f>
        <v>0</v>
      </c>
      <c r="K382" s="34">
        <f>I382</f>
        <v>0</v>
      </c>
      <c r="L382" s="154">
        <f>IF(J382=0,0,(K382-J382)/J382)</f>
        <v>0</v>
      </c>
      <c r="M382" s="122"/>
    </row>
    <row r="383" spans="1:13" s="132" customFormat="1" ht="12" customHeight="1" x14ac:dyDescent="0.3">
      <c r="A383" s="35"/>
      <c r="B383" s="71"/>
      <c r="C383" s="122"/>
      <c r="D383" s="265"/>
      <c r="E383" s="122"/>
      <c r="F383" s="122"/>
      <c r="G383" s="122"/>
      <c r="H383" s="122"/>
      <c r="I383" s="144"/>
      <c r="J383" s="84"/>
      <c r="K383" s="29"/>
      <c r="L383" s="122"/>
      <c r="M383" s="122"/>
    </row>
    <row r="384" spans="1:13" s="132" customFormat="1" ht="41.4" x14ac:dyDescent="0.3">
      <c r="A384" s="246" t="s">
        <v>96</v>
      </c>
      <c r="B384" s="246" t="s">
        <v>80</v>
      </c>
      <c r="C384" s="48" t="s">
        <v>47</v>
      </c>
      <c r="D384" s="135" t="s">
        <v>110</v>
      </c>
      <c r="E384" s="48" t="s">
        <v>98</v>
      </c>
      <c r="F384" s="48" t="s">
        <v>99</v>
      </c>
      <c r="G384" s="48" t="s">
        <v>22</v>
      </c>
      <c r="H384" s="48" t="s">
        <v>23</v>
      </c>
      <c r="I384" s="135" t="s">
        <v>100</v>
      </c>
      <c r="J384" s="145"/>
      <c r="K384" s="48"/>
      <c r="L384" s="124"/>
      <c r="M384" s="124"/>
    </row>
    <row r="385" spans="1:13" s="132" customFormat="1" ht="12" customHeight="1" x14ac:dyDescent="0.3">
      <c r="A385" s="148"/>
      <c r="B385" s="71" t="str">
        <f>IF(A385="","",VLOOKUP(A385,'Database Lab+Equip'!$F:$I,2,FALSE))</f>
        <v/>
      </c>
      <c r="C385" s="139"/>
      <c r="D385" s="271"/>
      <c r="E385" s="140">
        <f>IF(A385="",0,VLOOKUP(A385,'Database Lab+Equip'!$F:$I,3,FALSE))</f>
        <v>0</v>
      </c>
      <c r="F385" s="140">
        <f>IF(A385="",0,VLOOKUP(A385,'Database Lab+Equip'!$F:$I,4,FALSE))</f>
        <v>0</v>
      </c>
      <c r="G385" s="140">
        <f>IF(A385="",0,C385*D385*E385*E$373)</f>
        <v>0</v>
      </c>
      <c r="H385" s="140">
        <f>IF(A385="",0,C385*D385*F385*E$373)</f>
        <v>0</v>
      </c>
      <c r="I385" s="140">
        <f>(H385*$M$374)+H385</f>
        <v>0</v>
      </c>
      <c r="J385" s="84"/>
      <c r="K385" s="29"/>
      <c r="L385" s="122"/>
      <c r="M385" s="84"/>
    </row>
    <row r="386" spans="1:13" s="132" customFormat="1" ht="12" customHeight="1" x14ac:dyDescent="0.3">
      <c r="A386" s="148"/>
      <c r="B386" s="71" t="str">
        <f>IF(A386="","",VLOOKUP(A386,'Database Lab+Equip'!$F:$I,2,FALSE))</f>
        <v/>
      </c>
      <c r="C386" s="142"/>
      <c r="D386" s="272"/>
      <c r="E386" s="140">
        <f>IF(A386="",0,VLOOKUP(A386,'Database Lab+Equip'!$F:$I,3,FALSE))</f>
        <v>0</v>
      </c>
      <c r="F386" s="140">
        <f>IF(A386="",0,VLOOKUP(A386,'Database Lab+Equip'!$F:$I,4,FALSE))</f>
        <v>0</v>
      </c>
      <c r="G386" s="140">
        <f t="shared" ref="G386:G392" si="39">IF(A386="",0,C386*D386*E386*E$373)</f>
        <v>0</v>
      </c>
      <c r="H386" s="140">
        <f t="shared" ref="H386:H392" si="40">IF(A386="",0,C386*D386*F386*E$373)</f>
        <v>0</v>
      </c>
      <c r="I386" s="140">
        <f t="shared" ref="I386:I392" si="41">(H386*$M$374)+H386</f>
        <v>0</v>
      </c>
      <c r="J386" s="122"/>
      <c r="K386" s="29"/>
      <c r="L386" s="122"/>
      <c r="M386" s="122"/>
    </row>
    <row r="387" spans="1:13" s="132" customFormat="1" ht="12" customHeight="1" x14ac:dyDescent="0.3">
      <c r="A387" s="148"/>
      <c r="B387" s="71" t="str">
        <f>IF(A387="","",VLOOKUP(A387,'Database Lab+Equip'!$F:$I,2,FALSE))</f>
        <v/>
      </c>
      <c r="C387" s="142"/>
      <c r="D387" s="272"/>
      <c r="E387" s="140">
        <f>IF(A387="",0,VLOOKUP(A387,'Database Lab+Equip'!$F:$I,3,FALSE))</f>
        <v>0</v>
      </c>
      <c r="F387" s="140">
        <f>IF(A387="",0,VLOOKUP(A387,'Database Lab+Equip'!$F:$I,4,FALSE))</f>
        <v>0</v>
      </c>
      <c r="G387" s="140">
        <f t="shared" si="39"/>
        <v>0</v>
      </c>
      <c r="H387" s="140">
        <f t="shared" si="40"/>
        <v>0</v>
      </c>
      <c r="I387" s="140">
        <f t="shared" si="41"/>
        <v>0</v>
      </c>
      <c r="J387" s="84"/>
      <c r="K387" s="29"/>
      <c r="L387" s="122"/>
      <c r="M387" s="122"/>
    </row>
    <row r="388" spans="1:13" s="132" customFormat="1" ht="12" customHeight="1" x14ac:dyDescent="0.3">
      <c r="A388" s="148"/>
      <c r="B388" s="71" t="str">
        <f>IF(A388="","",VLOOKUP(A388,'Database Lab+Equip'!$F:$I,2,FALSE))</f>
        <v/>
      </c>
      <c r="C388" s="142"/>
      <c r="D388" s="272"/>
      <c r="E388" s="140">
        <f>IF(A388="",0,VLOOKUP(A388,'Database Lab+Equip'!$F:$I,3,FALSE))</f>
        <v>0</v>
      </c>
      <c r="F388" s="140">
        <f>IF(A388="",0,VLOOKUP(A388,'Database Lab+Equip'!$F:$I,4,FALSE))</f>
        <v>0</v>
      </c>
      <c r="G388" s="140">
        <f t="shared" si="39"/>
        <v>0</v>
      </c>
      <c r="H388" s="140">
        <f t="shared" si="40"/>
        <v>0</v>
      </c>
      <c r="I388" s="140">
        <f t="shared" si="41"/>
        <v>0</v>
      </c>
      <c r="J388" s="84"/>
      <c r="K388" s="29"/>
      <c r="L388" s="122"/>
      <c r="M388" s="122"/>
    </row>
    <row r="389" spans="1:13" s="132" customFormat="1" ht="12" customHeight="1" x14ac:dyDescent="0.3">
      <c r="A389" s="148"/>
      <c r="B389" s="71" t="str">
        <f>IF(A389="","",VLOOKUP(A389,'Database Lab+Equip'!$F:$I,2,FALSE))</f>
        <v/>
      </c>
      <c r="C389" s="142"/>
      <c r="D389" s="272"/>
      <c r="E389" s="140">
        <f>IF(A389="",0,VLOOKUP(A389,'Database Lab+Equip'!$F:$I,3,FALSE))</f>
        <v>0</v>
      </c>
      <c r="F389" s="140">
        <f>IF(A389="",0,VLOOKUP(A389,'Database Lab+Equip'!$F:$I,4,FALSE))</f>
        <v>0</v>
      </c>
      <c r="G389" s="140">
        <f t="shared" si="39"/>
        <v>0</v>
      </c>
      <c r="H389" s="140">
        <f t="shared" si="40"/>
        <v>0</v>
      </c>
      <c r="I389" s="140">
        <f t="shared" si="41"/>
        <v>0</v>
      </c>
      <c r="J389" s="84"/>
      <c r="K389" s="29"/>
      <c r="L389" s="122"/>
      <c r="M389" s="122"/>
    </row>
    <row r="390" spans="1:13" s="132" customFormat="1" ht="12" customHeight="1" x14ac:dyDescent="0.3">
      <c r="A390" s="148"/>
      <c r="B390" s="71" t="str">
        <f>IF(A390="","",VLOOKUP(A390,'Database Lab+Equip'!$F:$I,2,FALSE))</f>
        <v/>
      </c>
      <c r="C390" s="142"/>
      <c r="D390" s="272"/>
      <c r="E390" s="140">
        <f>IF(A390="",0,VLOOKUP(A390,'Database Lab+Equip'!$F:$I,3,FALSE))</f>
        <v>0</v>
      </c>
      <c r="F390" s="140">
        <f>IF(A390="",0,VLOOKUP(A390,'Database Lab+Equip'!$F:$I,4,FALSE))</f>
        <v>0</v>
      </c>
      <c r="G390" s="140">
        <f t="shared" si="39"/>
        <v>0</v>
      </c>
      <c r="H390" s="140">
        <f t="shared" si="40"/>
        <v>0</v>
      </c>
      <c r="I390" s="140">
        <f t="shared" si="41"/>
        <v>0</v>
      </c>
      <c r="J390" s="84"/>
      <c r="K390" s="29"/>
      <c r="L390" s="122"/>
      <c r="M390" s="122"/>
    </row>
    <row r="391" spans="1:13" s="132" customFormat="1" ht="12" customHeight="1" x14ac:dyDescent="0.3">
      <c r="A391" s="148"/>
      <c r="B391" s="71" t="str">
        <f>IF(A391="","",VLOOKUP(A391,'Database Lab+Equip'!$F:$I,2,FALSE))</f>
        <v/>
      </c>
      <c r="C391" s="142"/>
      <c r="D391" s="272"/>
      <c r="E391" s="140">
        <f>IF(A391="",0,VLOOKUP(A391,'Database Lab+Equip'!$F:$I,3,FALSE))</f>
        <v>0</v>
      </c>
      <c r="F391" s="140">
        <f>IF(A391="",0,VLOOKUP(A391,'Database Lab+Equip'!$F:$I,4,FALSE))</f>
        <v>0</v>
      </c>
      <c r="G391" s="140">
        <f t="shared" si="39"/>
        <v>0</v>
      </c>
      <c r="H391" s="140">
        <f t="shared" si="40"/>
        <v>0</v>
      </c>
      <c r="I391" s="140">
        <f t="shared" si="41"/>
        <v>0</v>
      </c>
      <c r="J391" s="84"/>
      <c r="K391" s="29"/>
      <c r="L391" s="122"/>
      <c r="M391" s="122"/>
    </row>
    <row r="392" spans="1:13" s="132" customFormat="1" ht="12" customHeight="1" x14ac:dyDescent="0.3">
      <c r="A392" s="148"/>
      <c r="B392" s="71" t="str">
        <f>IF(A392="","",VLOOKUP(A392,'Database Lab+Equip'!$F:$I,2,FALSE))</f>
        <v/>
      </c>
      <c r="C392" s="150"/>
      <c r="D392" s="273"/>
      <c r="E392" s="140">
        <f>IF(A392="",0,VLOOKUP(A392,'Database Lab+Equip'!$F:$I,3,FALSE))</f>
        <v>0</v>
      </c>
      <c r="F392" s="140">
        <f>IF(A392="",0,VLOOKUP(A392,'Database Lab+Equip'!$F:$I,4,FALSE))</f>
        <v>0</v>
      </c>
      <c r="G392" s="140">
        <f t="shared" si="39"/>
        <v>0</v>
      </c>
      <c r="H392" s="140">
        <f t="shared" si="40"/>
        <v>0</v>
      </c>
      <c r="I392" s="140">
        <f t="shared" si="41"/>
        <v>0</v>
      </c>
      <c r="J392" s="152" t="s">
        <v>108</v>
      </c>
      <c r="K392" s="153" t="s">
        <v>109</v>
      </c>
      <c r="L392" s="31"/>
      <c r="M392" s="125">
        <f>SUM(I385:I392)-SUM(G385:G392)</f>
        <v>0</v>
      </c>
    </row>
    <row r="393" spans="1:13" s="132" customFormat="1" ht="12" customHeight="1" x14ac:dyDescent="0.3">
      <c r="A393" s="72"/>
      <c r="B393" s="143"/>
      <c r="C393" s="130"/>
      <c r="D393" s="265"/>
      <c r="E393" s="122"/>
      <c r="F393" s="122"/>
      <c r="G393" s="21">
        <f>SUM(G385:G392)</f>
        <v>0</v>
      </c>
      <c r="H393" s="21">
        <f>SUM(H385:H392)</f>
        <v>0</v>
      </c>
      <c r="I393" s="21">
        <f>SUM(I385:I392)</f>
        <v>0</v>
      </c>
      <c r="J393" s="21">
        <f>G393</f>
        <v>0</v>
      </c>
      <c r="K393" s="34">
        <f>I393</f>
        <v>0</v>
      </c>
      <c r="L393" s="154">
        <f>IF(J393=0,0,(K393-J393)/J393)</f>
        <v>0</v>
      </c>
      <c r="M393" s="187">
        <f>M381+M392</f>
        <v>0</v>
      </c>
    </row>
    <row r="394" spans="1:13" s="31" customFormat="1" ht="13.8" x14ac:dyDescent="0.3">
      <c r="A394" s="110"/>
      <c r="B394" s="115"/>
      <c r="C394" s="116"/>
      <c r="D394" s="274"/>
      <c r="E394" s="117"/>
      <c r="F394" s="117"/>
      <c r="G394" s="118"/>
      <c r="H394" s="110"/>
      <c r="I394" s="161"/>
      <c r="J394" s="162">
        <f>J382+J393</f>
        <v>0</v>
      </c>
      <c r="K394" s="162">
        <f>K382+K393</f>
        <v>0</v>
      </c>
      <c r="L394" s="119">
        <f>IF(J394=0,0,(K394-J394)/K394)</f>
        <v>0</v>
      </c>
      <c r="M394" s="173"/>
    </row>
  </sheetData>
  <dataConsolidate link="1"/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headerFooter>
    <oddHeader>&amp;C&amp;"Calibri,Bold"&amp;11&amp;UBudget Estimate Template&amp;R&amp;G</oddHeader>
    <oddFooter>&amp;L&amp;F - &amp;A&amp;CPage &amp;P of &amp;N&amp;R&amp;D</oddFooter>
  </headerFooter>
  <rowBreaks count="2" manualBreakCount="2">
    <brk id="30" max="16383" man="1"/>
    <brk id="86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="Enter equipment resources in the database page." xr:uid="{00000000-0002-0000-0700-000000000000}">
          <x14:formula1>
            <xm:f>'Database Lab+Equip'!$F:$F</xm:f>
          </x14:formula1>
          <xm:sqref>A21:A28 A49:A56 A77:A84 A105:A112 A133:A140 A161:A168 A189:A196 A217:A224 A245:A252 A273:A280 A301:A308 A329:A336 A357:A364 A385:A392</xm:sqref>
        </x14:dataValidation>
        <x14:dataValidation type="list" allowBlank="1" error="Enter new labour resources in the database page." xr:uid="{00000000-0002-0000-0700-00000E000000}">
          <x14:formula1>
            <xm:f>'Database Lab+Equip'!$A:$A</xm:f>
          </x14:formula1>
          <xm:sqref>A13:A17 A41:A45 A69:A73 A97:A101 A125:A129 A153:A157 A181:A185 A209:A213 A237:A241 A265:A269 A293:A297 A321:A325 A349:A353 A377:A381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50"/>
    <pageSetUpPr fitToPage="1"/>
  </sheetPr>
  <dimension ref="A1:N395"/>
  <sheetViews>
    <sheetView zoomScale="85" zoomScaleNormal="85" workbookViewId="0">
      <pane ySplit="2" topLeftCell="A31" activePane="bottomLeft" state="frozen"/>
      <selection activeCell="E371" sqref="E371"/>
      <selection pane="bottomLeft" activeCell="M22" sqref="M22"/>
    </sheetView>
  </sheetViews>
  <sheetFormatPr defaultColWidth="9.21875" defaultRowHeight="12" customHeight="1" x14ac:dyDescent="0.3"/>
  <cols>
    <col min="1" max="1" width="20.77734375" style="72" bestFit="1" customWidth="1"/>
    <col min="2" max="2" width="31.77734375" style="143" customWidth="1"/>
    <col min="3" max="3" width="12.77734375" style="130" customWidth="1"/>
    <col min="4" max="4" width="10.44140625" style="265" customWidth="1"/>
    <col min="5" max="6" width="10.21875" style="122" bestFit="1" customWidth="1"/>
    <col min="7" max="9" width="14.5546875" style="122" customWidth="1"/>
    <col min="10" max="11" width="14.5546875" style="132" customWidth="1"/>
    <col min="12" max="12" width="11.21875" style="132" customWidth="1"/>
    <col min="13" max="13" width="39.44140625" style="132" customWidth="1"/>
    <col min="14" max="14" width="9.21875" style="132" customWidth="1"/>
    <col min="15" max="16384" width="9.21875" style="131"/>
  </cols>
  <sheetData>
    <row r="1" spans="1:14" ht="15.6" x14ac:dyDescent="0.3">
      <c r="B1" s="46" t="s">
        <v>178</v>
      </c>
    </row>
    <row r="2" spans="1:14" ht="14.4" x14ac:dyDescent="0.3">
      <c r="B2" s="35"/>
    </row>
    <row r="3" spans="1:14" s="31" customFormat="1" ht="13.8" x14ac:dyDescent="0.3">
      <c r="A3" s="112"/>
      <c r="B3" s="223"/>
      <c r="C3" s="214"/>
      <c r="D3" s="275"/>
      <c r="E3" s="215"/>
      <c r="F3" s="215"/>
      <c r="G3" s="216"/>
      <c r="H3" s="112"/>
      <c r="I3" s="217"/>
      <c r="J3" s="218"/>
      <c r="K3" s="218"/>
      <c r="L3" s="212"/>
      <c r="M3" s="213"/>
    </row>
    <row r="4" spans="1:14" ht="15.6" x14ac:dyDescent="0.3">
      <c r="B4" s="241" t="s">
        <v>179</v>
      </c>
      <c r="C4" s="129"/>
      <c r="D4" s="129"/>
      <c r="E4" s="129"/>
      <c r="F4" s="129"/>
      <c r="H4" s="132"/>
      <c r="I4" s="132"/>
      <c r="L4" s="221" t="s">
        <v>85</v>
      </c>
      <c r="M4" s="222"/>
      <c r="N4" s="131"/>
    </row>
    <row r="5" spans="1:14" s="132" customFormat="1" ht="12" customHeight="1" x14ac:dyDescent="0.3">
      <c r="A5" s="72"/>
      <c r="B5" s="24" t="s">
        <v>135</v>
      </c>
      <c r="C5" s="22"/>
      <c r="D5" s="266" t="s">
        <v>87</v>
      </c>
      <c r="E5" s="23"/>
      <c r="F5" s="133"/>
      <c r="H5" s="14"/>
      <c r="I5" s="14"/>
      <c r="J5" s="14"/>
      <c r="K5" s="14"/>
      <c r="L5" s="219" t="s">
        <v>88</v>
      </c>
      <c r="M5" s="220"/>
    </row>
    <row r="6" spans="1:14" s="132" customFormat="1" ht="12" customHeight="1" x14ac:dyDescent="0.3">
      <c r="A6" s="72"/>
      <c r="B6" s="24" t="s">
        <v>141</v>
      </c>
      <c r="C6" s="25"/>
      <c r="D6" s="266" t="s">
        <v>89</v>
      </c>
      <c r="E6" s="23"/>
      <c r="K6" s="14"/>
      <c r="L6" s="126" t="s">
        <v>90</v>
      </c>
      <c r="M6" s="127"/>
    </row>
    <row r="7" spans="1:14" s="132" customFormat="1" ht="12" customHeight="1" x14ac:dyDescent="0.3">
      <c r="A7" s="72"/>
      <c r="B7" s="24" t="s">
        <v>142</v>
      </c>
      <c r="C7" s="27">
        <v>1242</v>
      </c>
      <c r="D7" s="266" t="s">
        <v>91</v>
      </c>
      <c r="E7" s="23">
        <v>20</v>
      </c>
      <c r="I7" s="26"/>
      <c r="J7" s="26"/>
      <c r="K7" s="14"/>
      <c r="L7" s="126" t="s">
        <v>92</v>
      </c>
      <c r="M7" s="127"/>
    </row>
    <row r="8" spans="1:14" s="132" customFormat="1" ht="12" customHeight="1" x14ac:dyDescent="0.3">
      <c r="A8" s="72"/>
      <c r="B8" s="59" t="s">
        <v>143</v>
      </c>
      <c r="C8" s="260">
        <v>6</v>
      </c>
      <c r="D8" s="266" t="s">
        <v>25</v>
      </c>
      <c r="E8" s="128">
        <f>SUM(C13:C17)</f>
        <v>0</v>
      </c>
      <c r="I8" s="26"/>
      <c r="J8" s="26"/>
      <c r="K8" s="14"/>
      <c r="L8" s="93" t="s">
        <v>94</v>
      </c>
      <c r="M8" s="94"/>
    </row>
    <row r="9" spans="1:14" s="132" customFormat="1" ht="12" customHeight="1" x14ac:dyDescent="0.3">
      <c r="A9" s="72"/>
      <c r="B9" s="59" t="s">
        <v>144</v>
      </c>
      <c r="C9" s="25">
        <v>10</v>
      </c>
      <c r="D9" s="266" t="s">
        <v>44</v>
      </c>
      <c r="E9" s="244">
        <f>IF(E8=0,0,(C7/C8)/C9)</f>
        <v>0</v>
      </c>
      <c r="I9" s="26"/>
      <c r="J9" s="26"/>
      <c r="K9" s="14"/>
      <c r="L9" s="57" t="s">
        <v>70</v>
      </c>
      <c r="M9" s="58">
        <f>'Installation 1'!M9</f>
        <v>0.05</v>
      </c>
    </row>
    <row r="10" spans="1:14" s="132" customFormat="1" ht="12" customHeight="1" x14ac:dyDescent="0.3">
      <c r="A10" s="72"/>
      <c r="B10" s="28"/>
      <c r="C10" s="122"/>
      <c r="D10" s="267"/>
      <c r="E10" s="211"/>
      <c r="I10" s="26"/>
      <c r="J10" s="26"/>
      <c r="K10" s="14"/>
      <c r="L10" s="57" t="s">
        <v>80</v>
      </c>
      <c r="M10" s="58">
        <f>'Installation 1'!M10</f>
        <v>0.05</v>
      </c>
    </row>
    <row r="11" spans="1:14" s="132" customFormat="1" ht="12" customHeight="1" x14ac:dyDescent="0.3">
      <c r="A11" s="72"/>
      <c r="B11" s="28"/>
      <c r="C11" s="28"/>
      <c r="D11" s="43"/>
      <c r="H11" s="29"/>
      <c r="I11" s="29"/>
      <c r="J11" s="29"/>
      <c r="K11" s="29"/>
      <c r="M11" s="71"/>
    </row>
    <row r="12" spans="1:14" s="132" customFormat="1" ht="27.6" x14ac:dyDescent="0.3">
      <c r="A12" s="246" t="s">
        <v>145</v>
      </c>
      <c r="B12" s="246" t="s">
        <v>70</v>
      </c>
      <c r="C12" s="48" t="s">
        <v>47</v>
      </c>
      <c r="D12" s="135" t="s">
        <v>97</v>
      </c>
      <c r="E12" s="48" t="s">
        <v>98</v>
      </c>
      <c r="F12" s="48" t="s">
        <v>99</v>
      </c>
      <c r="G12" s="48" t="s">
        <v>22</v>
      </c>
      <c r="H12" s="48" t="s">
        <v>23</v>
      </c>
      <c r="I12" s="135" t="s">
        <v>100</v>
      </c>
      <c r="J12" s="136"/>
      <c r="K12" s="52"/>
      <c r="L12" s="48" t="s">
        <v>101</v>
      </c>
      <c r="M12" s="48" t="s">
        <v>0</v>
      </c>
    </row>
    <row r="13" spans="1:14" s="132" customFormat="1" ht="12" customHeight="1" x14ac:dyDescent="0.3">
      <c r="A13" s="137"/>
      <c r="B13" s="71"/>
      <c r="C13" s="142"/>
      <c r="D13" s="269"/>
      <c r="E13" s="140"/>
      <c r="F13" s="140"/>
      <c r="G13" s="140"/>
      <c r="H13" s="140"/>
      <c r="I13" s="140"/>
      <c r="J13" s="154"/>
      <c r="K13" s="26"/>
      <c r="M13" s="84"/>
    </row>
    <row r="14" spans="1:14" s="132" customFormat="1" ht="12" customHeight="1" x14ac:dyDescent="0.3">
      <c r="A14" s="137"/>
      <c r="B14" s="71"/>
      <c r="C14" s="142"/>
      <c r="D14" s="269"/>
      <c r="E14" s="140"/>
      <c r="F14" s="140"/>
      <c r="G14" s="140"/>
      <c r="H14" s="140"/>
      <c r="I14" s="140"/>
      <c r="J14" s="154"/>
      <c r="K14" s="26"/>
      <c r="M14" s="122"/>
    </row>
    <row r="15" spans="1:14" s="132" customFormat="1" ht="12" customHeight="1" x14ac:dyDescent="0.3">
      <c r="A15" s="137"/>
      <c r="B15" s="71"/>
      <c r="C15" s="142"/>
      <c r="D15" s="269"/>
      <c r="E15" s="140"/>
      <c r="F15" s="140"/>
      <c r="G15" s="140"/>
      <c r="H15" s="140"/>
      <c r="I15" s="140"/>
      <c r="J15" s="154"/>
      <c r="K15" s="26"/>
      <c r="M15" s="122"/>
    </row>
    <row r="16" spans="1:14" s="132" customFormat="1" ht="12" customHeight="1" x14ac:dyDescent="0.3">
      <c r="A16" s="137"/>
      <c r="B16" s="71"/>
      <c r="C16" s="142"/>
      <c r="D16" s="269"/>
      <c r="E16" s="140"/>
      <c r="F16" s="140"/>
      <c r="G16" s="140"/>
      <c r="H16" s="140"/>
      <c r="I16" s="140"/>
      <c r="J16" s="154"/>
      <c r="K16" s="26"/>
      <c r="M16" s="122"/>
    </row>
    <row r="17" spans="1:13" s="132" customFormat="1" ht="12" customHeight="1" x14ac:dyDescent="0.3">
      <c r="A17" s="137"/>
      <c r="B17" s="71"/>
      <c r="C17" s="142"/>
      <c r="D17" s="269"/>
      <c r="E17" s="140"/>
      <c r="F17" s="140"/>
      <c r="G17" s="140"/>
      <c r="H17" s="140"/>
      <c r="I17" s="140"/>
      <c r="J17" s="152" t="s">
        <v>108</v>
      </c>
      <c r="K17" s="153" t="s">
        <v>109</v>
      </c>
      <c r="L17" s="31"/>
      <c r="M17" s="123">
        <f>SUM(I13:I17)-SUM(G13:G17)</f>
        <v>0</v>
      </c>
    </row>
    <row r="18" spans="1:13" s="132" customFormat="1" ht="12" customHeight="1" x14ac:dyDescent="0.3">
      <c r="A18" s="35"/>
      <c r="C18" s="140"/>
      <c r="D18" s="270"/>
      <c r="E18" s="140"/>
      <c r="F18" s="140"/>
      <c r="G18" s="21"/>
      <c r="H18" s="21"/>
      <c r="I18" s="21"/>
      <c r="J18" s="21">
        <f>G18</f>
        <v>0</v>
      </c>
      <c r="K18" s="34">
        <f>I18</f>
        <v>0</v>
      </c>
      <c r="L18" s="154">
        <f>IF(J18=0,0,(K18-J18)/J18)</f>
        <v>0</v>
      </c>
      <c r="M18" s="122"/>
    </row>
    <row r="19" spans="1:13" s="132" customFormat="1" ht="12" customHeight="1" x14ac:dyDescent="0.3">
      <c r="A19" s="35"/>
      <c r="B19" s="71"/>
      <c r="C19" s="122"/>
      <c r="D19" s="265"/>
      <c r="E19" s="122"/>
      <c r="F19" s="122"/>
      <c r="G19" s="122"/>
      <c r="H19" s="122"/>
      <c r="I19" s="144"/>
      <c r="J19" s="84"/>
      <c r="K19" s="29"/>
      <c r="L19" s="122"/>
      <c r="M19" s="122"/>
    </row>
    <row r="20" spans="1:13" s="132" customFormat="1" ht="13.8" x14ac:dyDescent="0.3">
      <c r="A20" s="246"/>
      <c r="B20" s="246"/>
      <c r="C20" s="48"/>
      <c r="D20" s="135"/>
      <c r="E20" s="48"/>
      <c r="F20" s="48"/>
      <c r="G20" s="48"/>
      <c r="H20" s="48"/>
      <c r="I20" s="135"/>
      <c r="J20" s="145"/>
      <c r="K20" s="48"/>
      <c r="L20" s="124"/>
      <c r="M20" s="124"/>
    </row>
    <row r="21" spans="1:13" s="132" customFormat="1" ht="12" customHeight="1" x14ac:dyDescent="0.3">
      <c r="A21" s="148"/>
      <c r="B21" s="71"/>
      <c r="C21" s="139"/>
      <c r="D21" s="271"/>
      <c r="E21" s="140"/>
      <c r="F21" s="140"/>
      <c r="G21" s="140"/>
      <c r="H21" s="140"/>
      <c r="I21" s="140"/>
      <c r="J21" s="84"/>
      <c r="K21" s="29"/>
      <c r="L21" s="122"/>
      <c r="M21" s="84"/>
    </row>
    <row r="22" spans="1:13" s="132" customFormat="1" ht="12" customHeight="1" x14ac:dyDescent="0.3">
      <c r="A22" s="148"/>
      <c r="B22" s="71"/>
      <c r="C22" s="142"/>
      <c r="D22" s="272"/>
      <c r="E22" s="140"/>
      <c r="F22" s="140"/>
      <c r="G22" s="140"/>
      <c r="H22" s="140"/>
      <c r="I22" s="140"/>
      <c r="J22" s="122"/>
      <c r="K22" s="29"/>
      <c r="L22" s="122"/>
      <c r="M22" s="122"/>
    </row>
    <row r="23" spans="1:13" s="132" customFormat="1" ht="12" customHeight="1" x14ac:dyDescent="0.3">
      <c r="A23" s="314"/>
      <c r="B23" s="71"/>
      <c r="C23" s="313"/>
      <c r="D23" s="322"/>
      <c r="E23" s="140"/>
      <c r="F23" s="140"/>
      <c r="G23" s="140"/>
      <c r="H23" s="140"/>
      <c r="I23" s="140"/>
      <c r="J23" s="84"/>
      <c r="K23" s="29"/>
      <c r="L23" s="122"/>
      <c r="M23" s="122"/>
    </row>
    <row r="24" spans="1:13" s="132" customFormat="1" ht="12" customHeight="1" x14ac:dyDescent="0.3">
      <c r="A24" s="314"/>
      <c r="B24" s="71"/>
      <c r="C24" s="313"/>
      <c r="D24" s="322"/>
      <c r="E24" s="140"/>
      <c r="F24" s="140"/>
      <c r="G24" s="140"/>
      <c r="H24" s="140"/>
      <c r="I24" s="140"/>
      <c r="J24" s="84"/>
      <c r="K24" s="29"/>
      <c r="L24" s="122"/>
      <c r="M24" s="122"/>
    </row>
    <row r="25" spans="1:13" s="132" customFormat="1" ht="12" customHeight="1" x14ac:dyDescent="0.3">
      <c r="A25" s="148"/>
      <c r="B25" s="71"/>
      <c r="C25" s="142"/>
      <c r="D25" s="272"/>
      <c r="E25" s="140"/>
      <c r="F25" s="140"/>
      <c r="G25" s="140"/>
      <c r="H25" s="140"/>
      <c r="I25" s="140"/>
      <c r="J25" s="84"/>
      <c r="K25" s="29"/>
      <c r="L25" s="122"/>
      <c r="M25" s="122"/>
    </row>
    <row r="26" spans="1:13" s="132" customFormat="1" ht="12" customHeight="1" x14ac:dyDescent="0.3">
      <c r="A26" s="148"/>
      <c r="B26" s="71"/>
      <c r="C26" s="142"/>
      <c r="D26" s="272"/>
      <c r="E26" s="140"/>
      <c r="F26" s="140"/>
      <c r="G26" s="140"/>
      <c r="H26" s="140"/>
      <c r="I26" s="140"/>
      <c r="J26" s="84"/>
      <c r="K26" s="29"/>
      <c r="L26" s="122"/>
      <c r="M26" s="122"/>
    </row>
    <row r="27" spans="1:13" s="132" customFormat="1" ht="12" customHeight="1" x14ac:dyDescent="0.3">
      <c r="A27" s="148"/>
      <c r="B27" s="71"/>
      <c r="C27" s="150"/>
      <c r="D27" s="273"/>
      <c r="E27" s="140"/>
      <c r="F27" s="140"/>
      <c r="G27" s="140"/>
      <c r="H27" s="140"/>
      <c r="I27" s="140"/>
      <c r="J27" s="84"/>
      <c r="K27" s="29"/>
      <c r="L27" s="122"/>
      <c r="M27" s="122"/>
    </row>
    <row r="28" spans="1:13" s="132" customFormat="1" ht="12" customHeight="1" x14ac:dyDescent="0.3">
      <c r="A28" s="148"/>
      <c r="B28" s="71"/>
      <c r="C28" s="150"/>
      <c r="D28" s="273"/>
      <c r="E28" s="140"/>
      <c r="F28" s="140"/>
      <c r="G28" s="140"/>
      <c r="H28" s="140"/>
      <c r="I28" s="140"/>
      <c r="J28" s="152" t="s">
        <v>108</v>
      </c>
      <c r="K28" s="153" t="s">
        <v>109</v>
      </c>
      <c r="L28" s="31"/>
      <c r="M28" s="125">
        <f>SUM(I21:I28)-SUM(G21:G28)</f>
        <v>0</v>
      </c>
    </row>
    <row r="29" spans="1:13" s="132" customFormat="1" ht="12" customHeight="1" x14ac:dyDescent="0.3">
      <c r="A29" s="72"/>
      <c r="B29" s="143"/>
      <c r="C29" s="130"/>
      <c r="D29" s="265"/>
      <c r="E29" s="122"/>
      <c r="F29" s="122"/>
      <c r="G29" s="21"/>
      <c r="H29" s="21"/>
      <c r="I29" s="21"/>
      <c r="J29" s="21">
        <f>G29</f>
        <v>0</v>
      </c>
      <c r="K29" s="34">
        <f>I29</f>
        <v>0</v>
      </c>
      <c r="L29" s="154">
        <f>IF(J29=0,0,(K29-J29)/J29)</f>
        <v>0</v>
      </c>
      <c r="M29" s="187">
        <f>M17+M28</f>
        <v>0</v>
      </c>
    </row>
    <row r="30" spans="1:13" s="31" customFormat="1" ht="13.8" x14ac:dyDescent="0.3">
      <c r="A30" s="110"/>
      <c r="B30" s="115"/>
      <c r="C30" s="116"/>
      <c r="D30" s="274"/>
      <c r="E30" s="117"/>
      <c r="F30" s="117"/>
      <c r="G30" s="118"/>
      <c r="H30" s="110"/>
      <c r="I30" s="161"/>
      <c r="J30" s="162">
        <f>J18+J29</f>
        <v>0</v>
      </c>
      <c r="K30" s="162">
        <f>K18+K29</f>
        <v>0</v>
      </c>
      <c r="L30" s="119">
        <f>IF(J30=0,0,(K30-J30)/K30)</f>
        <v>0</v>
      </c>
      <c r="M30" s="173"/>
    </row>
    <row r="31" spans="1:13" s="31" customFormat="1" ht="13.8" x14ac:dyDescent="0.3">
      <c r="A31" s="112"/>
      <c r="B31" s="223"/>
      <c r="C31" s="214"/>
      <c r="D31" s="275"/>
      <c r="E31" s="215"/>
      <c r="F31" s="215"/>
      <c r="G31" s="216"/>
      <c r="H31" s="112"/>
      <c r="I31" s="217"/>
      <c r="J31" s="218"/>
      <c r="K31" s="218"/>
      <c r="L31" s="212"/>
      <c r="M31" s="213"/>
    </row>
    <row r="32" spans="1:13" ht="15.6" x14ac:dyDescent="0.3">
      <c r="B32" s="241" t="s">
        <v>180</v>
      </c>
      <c r="C32" s="129"/>
      <c r="D32" s="129"/>
      <c r="E32" s="129"/>
      <c r="F32" s="129"/>
      <c r="H32" s="132"/>
      <c r="I32" s="132"/>
      <c r="L32" s="221" t="s">
        <v>85</v>
      </c>
      <c r="M32" s="222"/>
    </row>
    <row r="33" spans="1:13" s="132" customFormat="1" ht="12" customHeight="1" x14ac:dyDescent="0.3">
      <c r="A33" s="72"/>
      <c r="B33" s="24" t="s">
        <v>135</v>
      </c>
      <c r="C33" s="22"/>
      <c r="D33" s="266" t="s">
        <v>87</v>
      </c>
      <c r="E33" s="23"/>
      <c r="F33" s="133"/>
      <c r="H33" s="14"/>
      <c r="I33" s="14"/>
      <c r="J33" s="14"/>
      <c r="K33" s="14"/>
      <c r="L33" s="219" t="s">
        <v>88</v>
      </c>
      <c r="M33" s="220"/>
    </row>
    <row r="34" spans="1:13" s="132" customFormat="1" ht="12" customHeight="1" x14ac:dyDescent="0.3">
      <c r="A34" s="72"/>
      <c r="B34" s="24" t="s">
        <v>141</v>
      </c>
      <c r="C34" s="25"/>
      <c r="D34" s="266" t="s">
        <v>89</v>
      </c>
      <c r="E34" s="23"/>
      <c r="K34" s="14"/>
      <c r="L34" s="126" t="s">
        <v>90</v>
      </c>
      <c r="M34" s="127"/>
    </row>
    <row r="35" spans="1:13" s="132" customFormat="1" ht="12" customHeight="1" x14ac:dyDescent="0.3">
      <c r="A35" s="72"/>
      <c r="B35" s="24" t="s">
        <v>142</v>
      </c>
      <c r="C35" s="27" t="str">
        <f>IF(C33="","",IF(E35="","",C33/E35+C34))</f>
        <v/>
      </c>
      <c r="D35" s="266" t="s">
        <v>91</v>
      </c>
      <c r="E35" s="23"/>
      <c r="I35" s="26"/>
      <c r="J35" s="26"/>
      <c r="K35" s="14"/>
      <c r="L35" s="126" t="s">
        <v>92</v>
      </c>
      <c r="M35" s="127"/>
    </row>
    <row r="36" spans="1:13" s="132" customFormat="1" ht="12" customHeight="1" x14ac:dyDescent="0.3">
      <c r="A36" s="72"/>
      <c r="B36" s="59" t="s">
        <v>143</v>
      </c>
      <c r="C36" s="260"/>
      <c r="D36" s="266" t="s">
        <v>25</v>
      </c>
      <c r="E36" s="128">
        <f>SUM(C41:C45)</f>
        <v>0</v>
      </c>
      <c r="I36" s="26"/>
      <c r="J36" s="26"/>
      <c r="K36" s="14"/>
      <c r="L36" s="93" t="s">
        <v>94</v>
      </c>
      <c r="M36" s="94"/>
    </row>
    <row r="37" spans="1:13" s="132" customFormat="1" ht="12" customHeight="1" x14ac:dyDescent="0.3">
      <c r="A37" s="72"/>
      <c r="B37" s="59" t="s">
        <v>144</v>
      </c>
      <c r="C37" s="25"/>
      <c r="D37" s="266" t="s">
        <v>44</v>
      </c>
      <c r="E37" s="244">
        <f>IF(E36=0,0,(C35/C36)/C37)</f>
        <v>0</v>
      </c>
      <c r="I37" s="26"/>
      <c r="J37" s="26"/>
      <c r="K37" s="14"/>
      <c r="L37" s="57" t="s">
        <v>70</v>
      </c>
      <c r="M37" s="58">
        <f>M9</f>
        <v>0.05</v>
      </c>
    </row>
    <row r="38" spans="1:13" s="132" customFormat="1" ht="12" customHeight="1" x14ac:dyDescent="0.3">
      <c r="A38" s="72"/>
      <c r="B38" s="28"/>
      <c r="C38" s="122"/>
      <c r="D38" s="267"/>
      <c r="E38" s="211"/>
      <c r="I38" s="26"/>
      <c r="J38" s="26"/>
      <c r="K38" s="14"/>
      <c r="L38" s="57" t="s">
        <v>80</v>
      </c>
      <c r="M38" s="58">
        <f>M10</f>
        <v>0.05</v>
      </c>
    </row>
    <row r="39" spans="1:13" s="132" customFormat="1" ht="12" customHeight="1" x14ac:dyDescent="0.3">
      <c r="A39" s="72"/>
      <c r="B39" s="28"/>
      <c r="C39" s="28"/>
      <c r="D39" s="43"/>
      <c r="H39" s="29"/>
      <c r="I39" s="29"/>
      <c r="J39" s="29"/>
      <c r="K39" s="29"/>
      <c r="M39" s="71"/>
    </row>
    <row r="40" spans="1:13" s="132" customFormat="1" ht="27.6" x14ac:dyDescent="0.3">
      <c r="A40" s="246" t="s">
        <v>145</v>
      </c>
      <c r="B40" s="246" t="s">
        <v>70</v>
      </c>
      <c r="C40" s="48" t="s">
        <v>47</v>
      </c>
      <c r="D40" s="135" t="s">
        <v>97</v>
      </c>
      <c r="E40" s="48" t="s">
        <v>98</v>
      </c>
      <c r="F40" s="48" t="s">
        <v>99</v>
      </c>
      <c r="G40" s="48" t="s">
        <v>22</v>
      </c>
      <c r="H40" s="48" t="s">
        <v>23</v>
      </c>
      <c r="I40" s="135" t="s">
        <v>100</v>
      </c>
      <c r="J40" s="136"/>
      <c r="K40" s="52"/>
      <c r="L40" s="48" t="s">
        <v>101</v>
      </c>
      <c r="M40" s="48" t="s">
        <v>0</v>
      </c>
    </row>
    <row r="41" spans="1:13" s="132" customFormat="1" ht="12" customHeight="1" x14ac:dyDescent="0.3">
      <c r="A41" s="137"/>
      <c r="B41" s="71" t="str">
        <f>IF(A41="","",VLOOKUP(A41,'Database Lab+Equip'!$A:$D,2,FALSE))</f>
        <v/>
      </c>
      <c r="C41" s="139"/>
      <c r="D41" s="268"/>
      <c r="E41" s="140">
        <f>IF(A41="",0,VLOOKUP(A41,'Database Lab+Equip'!$A:$D,3,FALSE))</f>
        <v>0</v>
      </c>
      <c r="F41" s="140">
        <f>IF(A41="",0,VLOOKUP(A41,'Database Lab+Equip'!$A:$D,4,FALSE))</f>
        <v>0</v>
      </c>
      <c r="G41" s="140">
        <f>IF(A41="",0,C41*D41*E41*E$37)</f>
        <v>0</v>
      </c>
      <c r="H41" s="140">
        <f>IF(A41="",0,C41*D41*F41*E$37)</f>
        <v>0</v>
      </c>
      <c r="I41" s="140">
        <f>(H41*$M$37)+H41</f>
        <v>0</v>
      </c>
      <c r="J41" s="154"/>
      <c r="K41" s="26"/>
      <c r="M41" s="84"/>
    </row>
    <row r="42" spans="1:13" s="132" customFormat="1" ht="12" customHeight="1" x14ac:dyDescent="0.3">
      <c r="A42" s="137"/>
      <c r="B42" s="71" t="str">
        <f>IF(A42="","",VLOOKUP(A42,'Database Lab+Equip'!$A:$D,2,FALSE))</f>
        <v/>
      </c>
      <c r="C42" s="142"/>
      <c r="D42" s="269"/>
      <c r="E42" s="140">
        <f>IF(A42="",0,VLOOKUP(A42,'Database Lab+Equip'!$A:$D,3,FALSE))</f>
        <v>0</v>
      </c>
      <c r="F42" s="140">
        <f>IF(A42="",0,VLOOKUP(A42,'Database Lab+Equip'!$A:$D,4,FALSE))</f>
        <v>0</v>
      </c>
      <c r="G42" s="140">
        <f>IF(A42="",0,C42*D42*E42*E$37)</f>
        <v>0</v>
      </c>
      <c r="H42" s="140">
        <f>IF(A42="",0,C42*D42*F42*E$37)</f>
        <v>0</v>
      </c>
      <c r="I42" s="140">
        <f>(H42*$M$37)+H42</f>
        <v>0</v>
      </c>
      <c r="J42" s="154"/>
      <c r="K42" s="26"/>
      <c r="M42" s="122"/>
    </row>
    <row r="43" spans="1:13" s="132" customFormat="1" ht="12" customHeight="1" x14ac:dyDescent="0.3">
      <c r="A43" s="137"/>
      <c r="B43" s="71" t="str">
        <f>IF(A43="","",VLOOKUP(A43,'Database Lab+Equip'!$A:$D,2,FALSE))</f>
        <v/>
      </c>
      <c r="C43" s="142"/>
      <c r="D43" s="269"/>
      <c r="E43" s="140">
        <f>IF(A43="",0,VLOOKUP(A43,'Database Lab+Equip'!$A:$D,3,FALSE))</f>
        <v>0</v>
      </c>
      <c r="F43" s="140">
        <f>IF(A43="",0,VLOOKUP(A43,'Database Lab+Equip'!$A:$D,4,FALSE))</f>
        <v>0</v>
      </c>
      <c r="G43" s="140">
        <f>IF(A43="",0,C43*D43*E43*E$37)</f>
        <v>0</v>
      </c>
      <c r="H43" s="140">
        <f>IF(A43="",0,C43*D43*F43*E$37)</f>
        <v>0</v>
      </c>
      <c r="I43" s="140">
        <f>(H43*$M$37)+H43</f>
        <v>0</v>
      </c>
      <c r="J43" s="154"/>
      <c r="K43" s="26"/>
      <c r="M43" s="122"/>
    </row>
    <row r="44" spans="1:13" s="132" customFormat="1" ht="12" customHeight="1" x14ac:dyDescent="0.3">
      <c r="A44" s="137"/>
      <c r="B44" s="71" t="str">
        <f>IF(A44="","",VLOOKUP(A44,'Database Lab+Equip'!$A:$D,2,FALSE))</f>
        <v/>
      </c>
      <c r="C44" s="142"/>
      <c r="D44" s="269"/>
      <c r="E44" s="140">
        <f>IF(A44="",0,VLOOKUP(A44,'Database Lab+Equip'!$A:$D,3,FALSE))</f>
        <v>0</v>
      </c>
      <c r="F44" s="140">
        <f>IF(A44="",0,VLOOKUP(A44,'Database Lab+Equip'!$A:$D,4,FALSE))</f>
        <v>0</v>
      </c>
      <c r="G44" s="140">
        <f>IF(A44="",0,C44*D44*E44*E$37)</f>
        <v>0</v>
      </c>
      <c r="H44" s="140">
        <f>IF(A44="",0,C44*D44*F44*E$37)</f>
        <v>0</v>
      </c>
      <c r="I44" s="140">
        <f>(H44*$M$37)+H44</f>
        <v>0</v>
      </c>
      <c r="J44" s="154"/>
      <c r="K44" s="26"/>
      <c r="M44" s="122"/>
    </row>
    <row r="45" spans="1:13" s="132" customFormat="1" ht="12" customHeight="1" x14ac:dyDescent="0.3">
      <c r="A45" s="137"/>
      <c r="B45" s="71" t="str">
        <f>IF(A45="","",VLOOKUP(A45,'Database Lab+Equip'!$A:$D,2,FALSE))</f>
        <v/>
      </c>
      <c r="C45" s="142"/>
      <c r="D45" s="269"/>
      <c r="E45" s="140">
        <f>IF(A45="",0,VLOOKUP(A45,'Database Lab+Equip'!$A:$D,3,FALSE))</f>
        <v>0</v>
      </c>
      <c r="F45" s="140">
        <f>IF(A45="",0,VLOOKUP(A45,'Database Lab+Equip'!$A:$D,4,FALSE))</f>
        <v>0</v>
      </c>
      <c r="G45" s="140">
        <f>IF(A45="",0,C45*D45*E45*E$37)</f>
        <v>0</v>
      </c>
      <c r="H45" s="140">
        <f>IF(A45="",0,C45*D45*F45*E$37)</f>
        <v>0</v>
      </c>
      <c r="I45" s="140">
        <f>(H45*$M$37)+H45</f>
        <v>0</v>
      </c>
      <c r="J45" s="152" t="s">
        <v>108</v>
      </c>
      <c r="K45" s="153" t="s">
        <v>109</v>
      </c>
      <c r="L45" s="31"/>
      <c r="M45" s="123">
        <f>SUM(I41:I45)-SUM(G41:G45)</f>
        <v>0</v>
      </c>
    </row>
    <row r="46" spans="1:13" s="132" customFormat="1" ht="12" customHeight="1" x14ac:dyDescent="0.3">
      <c r="A46" s="35"/>
      <c r="C46" s="140"/>
      <c r="D46" s="270"/>
      <c r="E46" s="140"/>
      <c r="F46" s="140"/>
      <c r="G46" s="21">
        <f>SUM(G41:G45)</f>
        <v>0</v>
      </c>
      <c r="H46" s="21">
        <f>SUM(H41:H45)</f>
        <v>0</v>
      </c>
      <c r="I46" s="21">
        <f>SUM(I41:I45)</f>
        <v>0</v>
      </c>
      <c r="J46" s="21">
        <f>G46</f>
        <v>0</v>
      </c>
      <c r="K46" s="34">
        <f>I46</f>
        <v>0</v>
      </c>
      <c r="L46" s="154">
        <f>IF(J46=0,0,(K46-J46)/J46)</f>
        <v>0</v>
      </c>
      <c r="M46" s="122"/>
    </row>
    <row r="47" spans="1:13" s="132" customFormat="1" ht="12" customHeight="1" x14ac:dyDescent="0.3">
      <c r="A47" s="35"/>
      <c r="B47" s="71"/>
      <c r="C47" s="122"/>
      <c r="D47" s="265"/>
      <c r="E47" s="122"/>
      <c r="F47" s="122"/>
      <c r="G47" s="122"/>
      <c r="H47" s="122"/>
      <c r="I47" s="144"/>
      <c r="J47" s="84"/>
      <c r="K47" s="29"/>
      <c r="L47" s="122"/>
      <c r="M47" s="122"/>
    </row>
    <row r="48" spans="1:13" s="132" customFormat="1" ht="41.4" x14ac:dyDescent="0.3">
      <c r="A48" s="246" t="s">
        <v>96</v>
      </c>
      <c r="B48" s="246" t="s">
        <v>80</v>
      </c>
      <c r="C48" s="48" t="s">
        <v>47</v>
      </c>
      <c r="D48" s="135" t="s">
        <v>110</v>
      </c>
      <c r="E48" s="48" t="s">
        <v>98</v>
      </c>
      <c r="F48" s="48" t="s">
        <v>99</v>
      </c>
      <c r="G48" s="48" t="s">
        <v>22</v>
      </c>
      <c r="H48" s="48" t="s">
        <v>23</v>
      </c>
      <c r="I48" s="135" t="s">
        <v>100</v>
      </c>
      <c r="J48" s="145"/>
      <c r="K48" s="48"/>
      <c r="L48" s="124"/>
      <c r="M48" s="124"/>
    </row>
    <row r="49" spans="1:13" s="132" customFormat="1" ht="12" customHeight="1" x14ac:dyDescent="0.3">
      <c r="A49" s="148"/>
      <c r="B49" s="71" t="str">
        <f>IF(A49="","",VLOOKUP(A49,'Database Lab+Equip'!$F:$I,2,FALSE))</f>
        <v/>
      </c>
      <c r="C49" s="139"/>
      <c r="D49" s="271"/>
      <c r="E49" s="140">
        <f>IF(A49="",0,VLOOKUP(A49,'Database Lab+Equip'!$F:$I,3,FALSE))</f>
        <v>0</v>
      </c>
      <c r="F49" s="140">
        <f>IF(A49="",0,VLOOKUP(A49,'Database Lab+Equip'!$F:$I,4,FALSE))</f>
        <v>0</v>
      </c>
      <c r="G49" s="140">
        <f>IF(A49="",0,C49*D49*E49*E$37)</f>
        <v>0</v>
      </c>
      <c r="H49" s="140">
        <f>IF(A49="",0,C49*D49*F49*E$37)</f>
        <v>0</v>
      </c>
      <c r="I49" s="140">
        <f>(H49*$M$38)+H49</f>
        <v>0</v>
      </c>
      <c r="J49" s="84"/>
      <c r="K49" s="29"/>
      <c r="L49" s="122"/>
      <c r="M49" s="84"/>
    </row>
    <row r="50" spans="1:13" s="132" customFormat="1" ht="12" customHeight="1" x14ac:dyDescent="0.3">
      <c r="A50" s="148"/>
      <c r="B50" s="71" t="str">
        <f>IF(A50="","",VLOOKUP(A50,'Database Lab+Equip'!$F:$I,2,FALSE))</f>
        <v/>
      </c>
      <c r="C50" s="142"/>
      <c r="D50" s="272"/>
      <c r="E50" s="140">
        <f>IF(A50="",0,VLOOKUP(A50,'Database Lab+Equip'!$F:$I,3,FALSE))</f>
        <v>0</v>
      </c>
      <c r="F50" s="140">
        <f>IF(A50="",0,VLOOKUP(A50,'Database Lab+Equip'!$F:$I,4,FALSE))</f>
        <v>0</v>
      </c>
      <c r="G50" s="140">
        <f t="shared" ref="G50:G56" si="0">IF(A50="",0,C50*D50*E50*E$37)</f>
        <v>0</v>
      </c>
      <c r="H50" s="140">
        <f t="shared" ref="H50:H56" si="1">IF(A50="",0,C50*D50*F50*E$37)</f>
        <v>0</v>
      </c>
      <c r="I50" s="140">
        <f t="shared" ref="I50:I56" si="2">(H50*$M$38)+H50</f>
        <v>0</v>
      </c>
      <c r="J50" s="122"/>
      <c r="K50" s="29"/>
      <c r="L50" s="122"/>
      <c r="M50" s="122"/>
    </row>
    <row r="51" spans="1:13" s="132" customFormat="1" ht="12" customHeight="1" x14ac:dyDescent="0.3">
      <c r="A51" s="148"/>
      <c r="B51" s="71" t="str">
        <f>IF(A51="","",VLOOKUP(A51,'Database Lab+Equip'!$F:$I,2,FALSE))</f>
        <v/>
      </c>
      <c r="C51" s="142"/>
      <c r="D51" s="272"/>
      <c r="E51" s="140">
        <f>IF(A51="",0,VLOOKUP(A51,'Database Lab+Equip'!$F:$I,3,FALSE))</f>
        <v>0</v>
      </c>
      <c r="F51" s="140">
        <f>IF(A51="",0,VLOOKUP(A51,'Database Lab+Equip'!$F:$I,4,FALSE))</f>
        <v>0</v>
      </c>
      <c r="G51" s="140">
        <f t="shared" si="0"/>
        <v>0</v>
      </c>
      <c r="H51" s="140">
        <f t="shared" si="1"/>
        <v>0</v>
      </c>
      <c r="I51" s="140">
        <f t="shared" si="2"/>
        <v>0</v>
      </c>
      <c r="J51" s="84"/>
      <c r="K51" s="29"/>
      <c r="L51" s="122"/>
      <c r="M51" s="122"/>
    </row>
    <row r="52" spans="1:13" s="132" customFormat="1" ht="12" customHeight="1" x14ac:dyDescent="0.3">
      <c r="A52" s="148"/>
      <c r="B52" s="71" t="str">
        <f>IF(A52="","",VLOOKUP(A52,'Database Lab+Equip'!$F:$I,2,FALSE))</f>
        <v/>
      </c>
      <c r="C52" s="142"/>
      <c r="D52" s="272"/>
      <c r="E52" s="140">
        <f>IF(A52="",0,VLOOKUP(A52,'Database Lab+Equip'!$F:$I,3,FALSE))</f>
        <v>0</v>
      </c>
      <c r="F52" s="140">
        <f>IF(A52="",0,VLOOKUP(A52,'Database Lab+Equip'!$F:$I,4,FALSE))</f>
        <v>0</v>
      </c>
      <c r="G52" s="140">
        <f t="shared" si="0"/>
        <v>0</v>
      </c>
      <c r="H52" s="140">
        <f t="shared" si="1"/>
        <v>0</v>
      </c>
      <c r="I52" s="140">
        <f t="shared" si="2"/>
        <v>0</v>
      </c>
      <c r="J52" s="84"/>
      <c r="K52" s="29"/>
      <c r="L52" s="122"/>
      <c r="M52" s="122"/>
    </row>
    <row r="53" spans="1:13" s="132" customFormat="1" ht="12" customHeight="1" x14ac:dyDescent="0.3">
      <c r="A53" s="148"/>
      <c r="B53" s="71" t="str">
        <f>IF(A53="","",VLOOKUP(A53,'Database Lab+Equip'!$F:$I,2,FALSE))</f>
        <v/>
      </c>
      <c r="C53" s="142"/>
      <c r="D53" s="272"/>
      <c r="E53" s="140">
        <f>IF(A53="",0,VLOOKUP(A53,'Database Lab+Equip'!$F:$I,3,FALSE))</f>
        <v>0</v>
      </c>
      <c r="F53" s="140">
        <f>IF(A53="",0,VLOOKUP(A53,'Database Lab+Equip'!$F:$I,4,FALSE))</f>
        <v>0</v>
      </c>
      <c r="G53" s="140">
        <f t="shared" si="0"/>
        <v>0</v>
      </c>
      <c r="H53" s="140">
        <f t="shared" si="1"/>
        <v>0</v>
      </c>
      <c r="I53" s="140">
        <f t="shared" si="2"/>
        <v>0</v>
      </c>
      <c r="J53" s="84"/>
      <c r="K53" s="29"/>
      <c r="L53" s="122"/>
      <c r="M53" s="122"/>
    </row>
    <row r="54" spans="1:13" s="132" customFormat="1" ht="12" customHeight="1" x14ac:dyDescent="0.3">
      <c r="A54" s="148"/>
      <c r="B54" s="71" t="str">
        <f>IF(A54="","",VLOOKUP(A54,'Database Lab+Equip'!$F:$I,2,FALSE))</f>
        <v/>
      </c>
      <c r="C54" s="142"/>
      <c r="D54" s="272"/>
      <c r="E54" s="140">
        <f>IF(A54="",0,VLOOKUP(A54,'Database Lab+Equip'!$F:$I,3,FALSE))</f>
        <v>0</v>
      </c>
      <c r="F54" s="140">
        <f>IF(A54="",0,VLOOKUP(A54,'Database Lab+Equip'!$F:$I,4,FALSE))</f>
        <v>0</v>
      </c>
      <c r="G54" s="140">
        <f t="shared" si="0"/>
        <v>0</v>
      </c>
      <c r="H54" s="140">
        <f t="shared" si="1"/>
        <v>0</v>
      </c>
      <c r="I54" s="140">
        <f t="shared" si="2"/>
        <v>0</v>
      </c>
      <c r="J54" s="84"/>
      <c r="K54" s="29"/>
      <c r="L54" s="122"/>
      <c r="M54" s="122"/>
    </row>
    <row r="55" spans="1:13" s="132" customFormat="1" ht="12" customHeight="1" x14ac:dyDescent="0.3">
      <c r="A55" s="148"/>
      <c r="B55" s="71" t="str">
        <f>IF(A55="","",VLOOKUP(A55,'Database Lab+Equip'!$F:$I,2,FALSE))</f>
        <v/>
      </c>
      <c r="C55" s="150"/>
      <c r="D55" s="273"/>
      <c r="E55" s="140">
        <f>IF(A55="",0,VLOOKUP(A55,'Database Lab+Equip'!$F:$I,3,FALSE))</f>
        <v>0</v>
      </c>
      <c r="F55" s="140">
        <f>IF(A55="",0,VLOOKUP(A55,'Database Lab+Equip'!$F:$I,4,FALSE))</f>
        <v>0</v>
      </c>
      <c r="G55" s="140">
        <f t="shared" si="0"/>
        <v>0</v>
      </c>
      <c r="H55" s="140">
        <f t="shared" si="1"/>
        <v>0</v>
      </c>
      <c r="I55" s="140">
        <f t="shared" si="2"/>
        <v>0</v>
      </c>
      <c r="J55" s="84"/>
      <c r="K55" s="29"/>
      <c r="L55" s="122"/>
      <c r="M55" s="122"/>
    </row>
    <row r="56" spans="1:13" s="132" customFormat="1" ht="12" customHeight="1" x14ac:dyDescent="0.3">
      <c r="A56" s="148"/>
      <c r="B56" s="71" t="str">
        <f>IF(A56="","",VLOOKUP(A56,'Database Lab+Equip'!$F:$I,2,FALSE))</f>
        <v/>
      </c>
      <c r="C56" s="150"/>
      <c r="D56" s="273"/>
      <c r="E56" s="140">
        <f>IF(A56="",0,VLOOKUP(A56,'Database Lab+Equip'!$F:$I,3,FALSE))</f>
        <v>0</v>
      </c>
      <c r="F56" s="140">
        <f>IF(A56="",0,VLOOKUP(A56,'Database Lab+Equip'!$F:$I,4,FALSE))</f>
        <v>0</v>
      </c>
      <c r="G56" s="140">
        <f t="shared" si="0"/>
        <v>0</v>
      </c>
      <c r="H56" s="140">
        <f t="shared" si="1"/>
        <v>0</v>
      </c>
      <c r="I56" s="140">
        <f t="shared" si="2"/>
        <v>0</v>
      </c>
      <c r="J56" s="152" t="s">
        <v>108</v>
      </c>
      <c r="K56" s="153" t="s">
        <v>109</v>
      </c>
      <c r="L56" s="31"/>
      <c r="M56" s="125">
        <f>SUM(I49:I56)-SUM(G49:G56)</f>
        <v>0</v>
      </c>
    </row>
    <row r="57" spans="1:13" s="132" customFormat="1" ht="12" customHeight="1" x14ac:dyDescent="0.3">
      <c r="A57" s="72"/>
      <c r="B57" s="143"/>
      <c r="C57" s="130"/>
      <c r="D57" s="265"/>
      <c r="E57" s="122"/>
      <c r="F57" s="122"/>
      <c r="G57" s="21">
        <f>SUM(G49:G56)</f>
        <v>0</v>
      </c>
      <c r="H57" s="21">
        <f>SUM(H49:H56)</f>
        <v>0</v>
      </c>
      <c r="I57" s="21">
        <f>SUM(I49:I56)</f>
        <v>0</v>
      </c>
      <c r="J57" s="21">
        <f>G57</f>
        <v>0</v>
      </c>
      <c r="K57" s="34">
        <f>I57</f>
        <v>0</v>
      </c>
      <c r="L57" s="154">
        <f>IF(J57=0,0,(K57-J57)/J57)</f>
        <v>0</v>
      </c>
      <c r="M57" s="187">
        <f>M45+M56</f>
        <v>0</v>
      </c>
    </row>
    <row r="58" spans="1:13" s="31" customFormat="1" ht="13.8" x14ac:dyDescent="0.3">
      <c r="A58" s="110"/>
      <c r="B58" s="115"/>
      <c r="C58" s="116"/>
      <c r="D58" s="274"/>
      <c r="E58" s="117"/>
      <c r="F58" s="117"/>
      <c r="G58" s="118"/>
      <c r="H58" s="110"/>
      <c r="I58" s="161"/>
      <c r="J58" s="162">
        <f>J46+J57</f>
        <v>0</v>
      </c>
      <c r="K58" s="162">
        <f>K46+K57</f>
        <v>0</v>
      </c>
      <c r="L58" s="119">
        <f>IF(J58=0,0,(K58-J58)/K58)</f>
        <v>0</v>
      </c>
      <c r="M58" s="173"/>
    </row>
    <row r="59" spans="1:13" s="31" customFormat="1" ht="13.8" x14ac:dyDescent="0.3">
      <c r="A59" s="112"/>
      <c r="B59" s="223"/>
      <c r="C59" s="214"/>
      <c r="D59" s="275"/>
      <c r="E59" s="215"/>
      <c r="F59" s="215"/>
      <c r="G59" s="216"/>
      <c r="H59" s="112"/>
      <c r="I59" s="217"/>
      <c r="J59" s="218"/>
      <c r="K59" s="218"/>
      <c r="L59" s="212"/>
      <c r="M59" s="213"/>
    </row>
    <row r="60" spans="1:13" ht="15.6" x14ac:dyDescent="0.3">
      <c r="B60" s="241" t="s">
        <v>181</v>
      </c>
      <c r="C60" s="129"/>
      <c r="D60" s="129"/>
      <c r="E60" s="129"/>
      <c r="F60" s="129"/>
      <c r="H60" s="132"/>
      <c r="I60" s="132"/>
      <c r="L60" s="221" t="s">
        <v>85</v>
      </c>
      <c r="M60" s="222"/>
    </row>
    <row r="61" spans="1:13" s="132" customFormat="1" ht="12" customHeight="1" x14ac:dyDescent="0.3">
      <c r="A61" s="72"/>
      <c r="B61" s="24" t="s">
        <v>135</v>
      </c>
      <c r="C61" s="22"/>
      <c r="D61" s="266" t="s">
        <v>87</v>
      </c>
      <c r="E61" s="23"/>
      <c r="F61" s="133"/>
      <c r="H61" s="14"/>
      <c r="I61" s="14"/>
      <c r="J61" s="14"/>
      <c r="K61" s="14"/>
      <c r="L61" s="219" t="s">
        <v>88</v>
      </c>
      <c r="M61" s="220"/>
    </row>
    <row r="62" spans="1:13" s="132" customFormat="1" ht="12" customHeight="1" x14ac:dyDescent="0.3">
      <c r="A62" s="72"/>
      <c r="B62" s="24" t="s">
        <v>141</v>
      </c>
      <c r="C62" s="25"/>
      <c r="D62" s="266" t="s">
        <v>89</v>
      </c>
      <c r="E62" s="23"/>
      <c r="K62" s="14"/>
      <c r="L62" s="126" t="s">
        <v>90</v>
      </c>
      <c r="M62" s="127"/>
    </row>
    <row r="63" spans="1:13" s="132" customFormat="1" ht="12" customHeight="1" x14ac:dyDescent="0.3">
      <c r="A63" s="72"/>
      <c r="B63" s="24" t="s">
        <v>142</v>
      </c>
      <c r="C63" s="27" t="str">
        <f>IF(C61="","",IF(E63="","",C61/E63+C62))</f>
        <v/>
      </c>
      <c r="D63" s="266" t="s">
        <v>91</v>
      </c>
      <c r="E63" s="23"/>
      <c r="I63" s="26"/>
      <c r="J63" s="26"/>
      <c r="K63" s="14"/>
      <c r="L63" s="126" t="s">
        <v>92</v>
      </c>
      <c r="M63" s="127"/>
    </row>
    <row r="64" spans="1:13" s="132" customFormat="1" ht="12" customHeight="1" x14ac:dyDescent="0.3">
      <c r="A64" s="72"/>
      <c r="B64" s="59" t="s">
        <v>143</v>
      </c>
      <c r="C64" s="260"/>
      <c r="D64" s="266" t="s">
        <v>25</v>
      </c>
      <c r="E64" s="128">
        <f>SUM(C69:C73)</f>
        <v>0</v>
      </c>
      <c r="I64" s="26"/>
      <c r="J64" s="26"/>
      <c r="K64" s="14"/>
      <c r="L64" s="93" t="s">
        <v>94</v>
      </c>
      <c r="M64" s="94"/>
    </row>
    <row r="65" spans="1:13" s="132" customFormat="1" ht="12" customHeight="1" x14ac:dyDescent="0.3">
      <c r="A65" s="72"/>
      <c r="B65" s="59" t="s">
        <v>144</v>
      </c>
      <c r="C65" s="25"/>
      <c r="D65" s="266" t="s">
        <v>44</v>
      </c>
      <c r="E65" s="244">
        <f>IF(E64=0,0,(C63/C64)/C65)</f>
        <v>0</v>
      </c>
      <c r="I65" s="26"/>
      <c r="J65" s="26"/>
      <c r="K65" s="14"/>
      <c r="L65" s="57" t="s">
        <v>70</v>
      </c>
      <c r="M65" s="58">
        <f>M9</f>
        <v>0.05</v>
      </c>
    </row>
    <row r="66" spans="1:13" s="132" customFormat="1" ht="12" customHeight="1" x14ac:dyDescent="0.3">
      <c r="A66" s="72"/>
      <c r="B66" s="28"/>
      <c r="C66" s="122"/>
      <c r="D66" s="267"/>
      <c r="E66" s="211"/>
      <c r="I66" s="26"/>
      <c r="J66" s="26"/>
      <c r="K66" s="14"/>
      <c r="L66" s="57" t="s">
        <v>80</v>
      </c>
      <c r="M66" s="58">
        <f>M10</f>
        <v>0.05</v>
      </c>
    </row>
    <row r="67" spans="1:13" s="132" customFormat="1" ht="12" customHeight="1" x14ac:dyDescent="0.3">
      <c r="A67" s="72"/>
      <c r="B67" s="28"/>
      <c r="C67" s="28"/>
      <c r="D67" s="43"/>
      <c r="H67" s="29"/>
      <c r="I67" s="29"/>
      <c r="J67" s="29"/>
      <c r="K67" s="29"/>
      <c r="M67" s="71"/>
    </row>
    <row r="68" spans="1:13" s="132" customFormat="1" ht="27.6" x14ac:dyDescent="0.3">
      <c r="A68" s="246" t="s">
        <v>145</v>
      </c>
      <c r="B68" s="246" t="s">
        <v>70</v>
      </c>
      <c r="C68" s="48" t="s">
        <v>47</v>
      </c>
      <c r="D68" s="135" t="s">
        <v>97</v>
      </c>
      <c r="E68" s="48" t="s">
        <v>98</v>
      </c>
      <c r="F68" s="48" t="s">
        <v>99</v>
      </c>
      <c r="G68" s="48" t="s">
        <v>22</v>
      </c>
      <c r="H68" s="48" t="s">
        <v>23</v>
      </c>
      <c r="I68" s="135" t="s">
        <v>100</v>
      </c>
      <c r="J68" s="136"/>
      <c r="K68" s="52"/>
      <c r="L68" s="48" t="s">
        <v>101</v>
      </c>
      <c r="M68" s="48" t="s">
        <v>0</v>
      </c>
    </row>
    <row r="69" spans="1:13" s="132" customFormat="1" ht="12" customHeight="1" x14ac:dyDescent="0.3">
      <c r="A69" s="137"/>
      <c r="B69" s="71" t="str">
        <f>IF(A69="","",VLOOKUP(A69,'Database Lab+Equip'!$A:$D,2,FALSE))</f>
        <v/>
      </c>
      <c r="C69" s="139"/>
      <c r="D69" s="268"/>
      <c r="E69" s="140">
        <f>IF(A69="",0,VLOOKUP(A69,'Database Lab+Equip'!$A:$D,3,FALSE))</f>
        <v>0</v>
      </c>
      <c r="F69" s="140">
        <f>IF(A69="",0,VLOOKUP(A69,'Database Lab+Equip'!$A:$D,4,FALSE))</f>
        <v>0</v>
      </c>
      <c r="G69" s="140">
        <f>IF(A69="",0,C69*D69*E69*E$65)</f>
        <v>0</v>
      </c>
      <c r="H69" s="140">
        <f>IF(A69="",0,C69*D69*F69*E$65)</f>
        <v>0</v>
      </c>
      <c r="I69" s="140">
        <f>(H69*$M$65)+H69</f>
        <v>0</v>
      </c>
      <c r="J69" s="154"/>
      <c r="K69" s="26"/>
      <c r="M69" s="84"/>
    </row>
    <row r="70" spans="1:13" s="132" customFormat="1" ht="12" customHeight="1" x14ac:dyDescent="0.3">
      <c r="A70" s="137"/>
      <c r="B70" s="71" t="str">
        <f>IF(A70="","",VLOOKUP(A70,'Database Lab+Equip'!$A:$D,2,FALSE))</f>
        <v/>
      </c>
      <c r="C70" s="142"/>
      <c r="D70" s="269"/>
      <c r="E70" s="140">
        <f>IF(A70="",0,VLOOKUP(A70,'Database Lab+Equip'!$A:$D,3,FALSE))</f>
        <v>0</v>
      </c>
      <c r="F70" s="140">
        <f>IF(A70="",0,VLOOKUP(A70,'Database Lab+Equip'!$A:$D,4,FALSE))</f>
        <v>0</v>
      </c>
      <c r="G70" s="140">
        <f>IF(A70="",0,C70*D70*E70*E$65)</f>
        <v>0</v>
      </c>
      <c r="H70" s="140">
        <f>IF(A70="",0,C70*D70*F70*E$65)</f>
        <v>0</v>
      </c>
      <c r="I70" s="140">
        <f>(H70*$M$65)+H70</f>
        <v>0</v>
      </c>
      <c r="J70" s="154"/>
      <c r="K70" s="26"/>
      <c r="M70" s="122"/>
    </row>
    <row r="71" spans="1:13" s="132" customFormat="1" ht="12" customHeight="1" x14ac:dyDescent="0.3">
      <c r="A71" s="137"/>
      <c r="B71" s="71" t="str">
        <f>IF(A71="","",VLOOKUP(A71,'Database Lab+Equip'!$A:$D,2,FALSE))</f>
        <v/>
      </c>
      <c r="C71" s="142"/>
      <c r="D71" s="269"/>
      <c r="E71" s="140">
        <f>IF(A71="",0,VLOOKUP(A71,'Database Lab+Equip'!$A:$D,3,FALSE))</f>
        <v>0</v>
      </c>
      <c r="F71" s="140">
        <f>IF(A71="",0,VLOOKUP(A71,'Database Lab+Equip'!$A:$D,4,FALSE))</f>
        <v>0</v>
      </c>
      <c r="G71" s="140">
        <f>IF(A71="",0,C71*D71*E71*E$65)</f>
        <v>0</v>
      </c>
      <c r="H71" s="140">
        <f>IF(A71="",0,C71*D71*F71*E$65)</f>
        <v>0</v>
      </c>
      <c r="I71" s="140">
        <f>(H71*$M$65)+H71</f>
        <v>0</v>
      </c>
      <c r="J71" s="154"/>
      <c r="K71" s="26"/>
      <c r="M71" s="122"/>
    </row>
    <row r="72" spans="1:13" s="132" customFormat="1" ht="12" customHeight="1" x14ac:dyDescent="0.3">
      <c r="A72" s="137"/>
      <c r="B72" s="71" t="str">
        <f>IF(A72="","",VLOOKUP(A72,'Database Lab+Equip'!$A:$D,2,FALSE))</f>
        <v/>
      </c>
      <c r="C72" s="142"/>
      <c r="D72" s="269"/>
      <c r="E72" s="140">
        <f>IF(A72="",0,VLOOKUP(A72,'Database Lab+Equip'!$A:$D,3,FALSE))</f>
        <v>0</v>
      </c>
      <c r="F72" s="140">
        <f>IF(A72="",0,VLOOKUP(A72,'Database Lab+Equip'!$A:$D,4,FALSE))</f>
        <v>0</v>
      </c>
      <c r="G72" s="140">
        <f>IF(A72="",0,C72*D72*E72*E$65)</f>
        <v>0</v>
      </c>
      <c r="H72" s="140">
        <f>IF(A72="",0,C72*D72*F72*E$65)</f>
        <v>0</v>
      </c>
      <c r="I72" s="140">
        <f>(H72*$M$65)+H72</f>
        <v>0</v>
      </c>
      <c r="J72" s="154"/>
      <c r="K72" s="26"/>
      <c r="M72" s="122"/>
    </row>
    <row r="73" spans="1:13" s="132" customFormat="1" ht="12" customHeight="1" x14ac:dyDescent="0.3">
      <c r="A73" s="137"/>
      <c r="B73" s="71" t="str">
        <f>IF(A73="","",VLOOKUP(A73,'Database Lab+Equip'!$A:$D,2,FALSE))</f>
        <v/>
      </c>
      <c r="C73" s="142"/>
      <c r="D73" s="269"/>
      <c r="E73" s="140">
        <f>IF(A73="",0,VLOOKUP(A73,'Database Lab+Equip'!$A:$D,3,FALSE))</f>
        <v>0</v>
      </c>
      <c r="F73" s="140">
        <f>IF(A73="",0,VLOOKUP(A73,'Database Lab+Equip'!$A:$D,4,FALSE))</f>
        <v>0</v>
      </c>
      <c r="G73" s="140">
        <f>IF(A73="",0,C73*D73*E73*E$65)</f>
        <v>0</v>
      </c>
      <c r="H73" s="140">
        <f>IF(A73="",0,C73*D73*F73*E$65)</f>
        <v>0</v>
      </c>
      <c r="I73" s="140">
        <f>(H73*$M$65)+H73</f>
        <v>0</v>
      </c>
      <c r="J73" s="152" t="s">
        <v>108</v>
      </c>
      <c r="K73" s="153" t="s">
        <v>109</v>
      </c>
      <c r="L73" s="31"/>
      <c r="M73" s="123">
        <f>SUM(I69:I73)-SUM(G69:G73)</f>
        <v>0</v>
      </c>
    </row>
    <row r="74" spans="1:13" s="132" customFormat="1" ht="12" customHeight="1" x14ac:dyDescent="0.3">
      <c r="A74" s="35"/>
      <c r="C74" s="140"/>
      <c r="D74" s="270"/>
      <c r="E74" s="140"/>
      <c r="F74" s="140"/>
      <c r="G74" s="21">
        <f>SUM(G69:G73)</f>
        <v>0</v>
      </c>
      <c r="H74" s="21">
        <f>SUM(H69:H73)</f>
        <v>0</v>
      </c>
      <c r="I74" s="21">
        <f>SUM(I69:I73)</f>
        <v>0</v>
      </c>
      <c r="J74" s="21">
        <f>G74</f>
        <v>0</v>
      </c>
      <c r="K74" s="34">
        <f>I74</f>
        <v>0</v>
      </c>
      <c r="L74" s="154">
        <f>IF(J74=0,0,(K74-J74)/J74)</f>
        <v>0</v>
      </c>
      <c r="M74" s="122"/>
    </row>
    <row r="75" spans="1:13" s="132" customFormat="1" ht="12" customHeight="1" x14ac:dyDescent="0.3">
      <c r="A75" s="35"/>
      <c r="B75" s="71"/>
      <c r="C75" s="122"/>
      <c r="D75" s="265"/>
      <c r="E75" s="122"/>
      <c r="F75" s="122"/>
      <c r="G75" s="122"/>
      <c r="H75" s="122"/>
      <c r="I75" s="144"/>
      <c r="J75" s="84"/>
      <c r="K75" s="29"/>
      <c r="L75" s="122"/>
      <c r="M75" s="122"/>
    </row>
    <row r="76" spans="1:13" s="132" customFormat="1" ht="41.4" x14ac:dyDescent="0.3">
      <c r="A76" s="246" t="s">
        <v>96</v>
      </c>
      <c r="B76" s="246" t="s">
        <v>80</v>
      </c>
      <c r="C76" s="48" t="s">
        <v>47</v>
      </c>
      <c r="D76" s="135" t="s">
        <v>110</v>
      </c>
      <c r="E76" s="48" t="s">
        <v>98</v>
      </c>
      <c r="F76" s="48" t="s">
        <v>99</v>
      </c>
      <c r="G76" s="48" t="s">
        <v>22</v>
      </c>
      <c r="H76" s="48" t="s">
        <v>23</v>
      </c>
      <c r="I76" s="135" t="s">
        <v>100</v>
      </c>
      <c r="J76" s="145"/>
      <c r="K76" s="48"/>
      <c r="L76" s="124"/>
      <c r="M76" s="124"/>
    </row>
    <row r="77" spans="1:13" s="132" customFormat="1" ht="12" customHeight="1" x14ac:dyDescent="0.3">
      <c r="A77" s="148"/>
      <c r="B77" s="71" t="str">
        <f>IF(A77="","",VLOOKUP(A77,'Database Lab+Equip'!$F:$I,2,FALSE))</f>
        <v/>
      </c>
      <c r="C77" s="139"/>
      <c r="D77" s="271"/>
      <c r="E77" s="140">
        <f>IF(A77="",0,VLOOKUP(A77,'Database Lab+Equip'!$F:$I,3,FALSE))</f>
        <v>0</v>
      </c>
      <c r="F77" s="140">
        <f>IF(A77="",0,VLOOKUP(A77,'Database Lab+Equip'!$F:$I,4,FALSE))</f>
        <v>0</v>
      </c>
      <c r="G77" s="140">
        <f>IF(A77="",0,C77*D77*E77*E$65)</f>
        <v>0</v>
      </c>
      <c r="H77" s="140">
        <f>IF(A77="",0,C77*D77*F77*E$65)</f>
        <v>0</v>
      </c>
      <c r="I77" s="140">
        <f>(H77*$M$66)+H77</f>
        <v>0</v>
      </c>
      <c r="J77" s="84"/>
      <c r="K77" s="29"/>
      <c r="L77" s="122"/>
      <c r="M77" s="84"/>
    </row>
    <row r="78" spans="1:13" s="132" customFormat="1" ht="12" customHeight="1" x14ac:dyDescent="0.3">
      <c r="A78" s="148"/>
      <c r="B78" s="71" t="str">
        <f>IF(A78="","",VLOOKUP(A78,'Database Lab+Equip'!$F:$I,2,FALSE))</f>
        <v/>
      </c>
      <c r="C78" s="142"/>
      <c r="D78" s="272"/>
      <c r="E78" s="140">
        <f>IF(A78="",0,VLOOKUP(A78,'Database Lab+Equip'!$F:$I,3,FALSE))</f>
        <v>0</v>
      </c>
      <c r="F78" s="140">
        <f>IF(A78="",0,VLOOKUP(A78,'Database Lab+Equip'!$F:$I,4,FALSE))</f>
        <v>0</v>
      </c>
      <c r="G78" s="140">
        <f t="shared" ref="G78:G84" si="3">IF(A78="",0,C78*D78*E78*E$65)</f>
        <v>0</v>
      </c>
      <c r="H78" s="140">
        <f t="shared" ref="H78:H84" si="4">IF(A78="",0,C78*D78*F78*E$65)</f>
        <v>0</v>
      </c>
      <c r="I78" s="140">
        <f t="shared" ref="I78:I84" si="5">(H78*$M$66)+H78</f>
        <v>0</v>
      </c>
      <c r="J78" s="122"/>
      <c r="K78" s="29"/>
      <c r="L78" s="122"/>
      <c r="M78" s="122"/>
    </row>
    <row r="79" spans="1:13" s="132" customFormat="1" ht="12" customHeight="1" x14ac:dyDescent="0.3">
      <c r="A79" s="148"/>
      <c r="B79" s="71" t="str">
        <f>IF(A79="","",VLOOKUP(A79,'Database Lab+Equip'!$F:$I,2,FALSE))</f>
        <v/>
      </c>
      <c r="C79" s="142"/>
      <c r="D79" s="272"/>
      <c r="E79" s="140">
        <f>IF(A79="",0,VLOOKUP(A79,'Database Lab+Equip'!$F:$I,3,FALSE))</f>
        <v>0</v>
      </c>
      <c r="F79" s="140">
        <f>IF(A79="",0,VLOOKUP(A79,'Database Lab+Equip'!$F:$I,4,FALSE))</f>
        <v>0</v>
      </c>
      <c r="G79" s="140">
        <f t="shared" si="3"/>
        <v>0</v>
      </c>
      <c r="H79" s="140">
        <f t="shared" si="4"/>
        <v>0</v>
      </c>
      <c r="I79" s="140">
        <f t="shared" si="5"/>
        <v>0</v>
      </c>
      <c r="J79" s="84"/>
      <c r="K79" s="29"/>
      <c r="L79" s="122"/>
      <c r="M79" s="122"/>
    </row>
    <row r="80" spans="1:13" s="132" customFormat="1" ht="12" customHeight="1" x14ac:dyDescent="0.3">
      <c r="A80" s="148"/>
      <c r="B80" s="71" t="str">
        <f>IF(A80="","",VLOOKUP(A80,'Database Lab+Equip'!$F:$I,2,FALSE))</f>
        <v/>
      </c>
      <c r="C80" s="142"/>
      <c r="D80" s="272"/>
      <c r="E80" s="140">
        <f>IF(A80="",0,VLOOKUP(A80,'Database Lab+Equip'!$F:$I,3,FALSE))</f>
        <v>0</v>
      </c>
      <c r="F80" s="140">
        <f>IF(A80="",0,VLOOKUP(A80,'Database Lab+Equip'!$F:$I,4,FALSE))</f>
        <v>0</v>
      </c>
      <c r="G80" s="140">
        <f t="shared" si="3"/>
        <v>0</v>
      </c>
      <c r="H80" s="140">
        <f t="shared" si="4"/>
        <v>0</v>
      </c>
      <c r="I80" s="140">
        <f t="shared" si="5"/>
        <v>0</v>
      </c>
      <c r="J80" s="84"/>
      <c r="K80" s="29"/>
      <c r="L80" s="122"/>
      <c r="M80" s="122"/>
    </row>
    <row r="81" spans="1:13" s="132" customFormat="1" ht="12" customHeight="1" x14ac:dyDescent="0.3">
      <c r="A81" s="148"/>
      <c r="B81" s="71" t="str">
        <f>IF(A81="","",VLOOKUP(A81,'Database Lab+Equip'!$F:$I,2,FALSE))</f>
        <v/>
      </c>
      <c r="C81" s="142"/>
      <c r="D81" s="272"/>
      <c r="E81" s="140">
        <f>IF(A81="",0,VLOOKUP(A81,'Database Lab+Equip'!$F:$I,3,FALSE))</f>
        <v>0</v>
      </c>
      <c r="F81" s="140">
        <f>IF(A81="",0,VLOOKUP(A81,'Database Lab+Equip'!$F:$I,4,FALSE))</f>
        <v>0</v>
      </c>
      <c r="G81" s="140">
        <f t="shared" si="3"/>
        <v>0</v>
      </c>
      <c r="H81" s="140">
        <f t="shared" si="4"/>
        <v>0</v>
      </c>
      <c r="I81" s="140">
        <f t="shared" si="5"/>
        <v>0</v>
      </c>
      <c r="J81" s="84"/>
      <c r="K81" s="29"/>
      <c r="L81" s="122"/>
      <c r="M81" s="122"/>
    </row>
    <row r="82" spans="1:13" s="132" customFormat="1" ht="12" customHeight="1" x14ac:dyDescent="0.3">
      <c r="A82" s="148"/>
      <c r="B82" s="71" t="str">
        <f>IF(A82="","",VLOOKUP(A82,'Database Lab+Equip'!$F:$I,2,FALSE))</f>
        <v/>
      </c>
      <c r="C82" s="142"/>
      <c r="D82" s="272"/>
      <c r="E82" s="140">
        <f>IF(A82="",0,VLOOKUP(A82,'Database Lab+Equip'!$F:$I,3,FALSE))</f>
        <v>0</v>
      </c>
      <c r="F82" s="140">
        <f>IF(A82="",0,VLOOKUP(A82,'Database Lab+Equip'!$F:$I,4,FALSE))</f>
        <v>0</v>
      </c>
      <c r="G82" s="140">
        <f t="shared" si="3"/>
        <v>0</v>
      </c>
      <c r="H82" s="140">
        <f t="shared" si="4"/>
        <v>0</v>
      </c>
      <c r="I82" s="140">
        <f t="shared" si="5"/>
        <v>0</v>
      </c>
      <c r="J82" s="84"/>
      <c r="K82" s="29"/>
      <c r="L82" s="122"/>
      <c r="M82" s="122"/>
    </row>
    <row r="83" spans="1:13" s="132" customFormat="1" ht="12" customHeight="1" x14ac:dyDescent="0.3">
      <c r="A83" s="148"/>
      <c r="B83" s="71" t="str">
        <f>IF(A83="","",VLOOKUP(A83,'Database Lab+Equip'!$F:$I,2,FALSE))</f>
        <v/>
      </c>
      <c r="C83" s="142"/>
      <c r="D83" s="272"/>
      <c r="E83" s="140">
        <f>IF(A83="",0,VLOOKUP(A83,'Database Lab+Equip'!$F:$I,3,FALSE))</f>
        <v>0</v>
      </c>
      <c r="F83" s="140">
        <f>IF(A83="",0,VLOOKUP(A83,'Database Lab+Equip'!$F:$I,4,FALSE))</f>
        <v>0</v>
      </c>
      <c r="G83" s="140">
        <f t="shared" si="3"/>
        <v>0</v>
      </c>
      <c r="H83" s="140">
        <f t="shared" si="4"/>
        <v>0</v>
      </c>
      <c r="I83" s="140">
        <f t="shared" si="5"/>
        <v>0</v>
      </c>
      <c r="J83" s="84"/>
      <c r="K83" s="29"/>
      <c r="L83" s="122"/>
      <c r="M83" s="122"/>
    </row>
    <row r="84" spans="1:13" s="132" customFormat="1" ht="12" customHeight="1" x14ac:dyDescent="0.3">
      <c r="A84" s="148"/>
      <c r="B84" s="71" t="str">
        <f>IF(A84="","",VLOOKUP(A84,'Database Lab+Equip'!$F:$I,2,FALSE))</f>
        <v/>
      </c>
      <c r="C84" s="150"/>
      <c r="D84" s="273"/>
      <c r="E84" s="140">
        <f>IF(A84="",0,VLOOKUP(A84,'Database Lab+Equip'!$F:$I,3,FALSE))</f>
        <v>0</v>
      </c>
      <c r="F84" s="140">
        <f>IF(A84="",0,VLOOKUP(A84,'Database Lab+Equip'!$F:$I,4,FALSE))</f>
        <v>0</v>
      </c>
      <c r="G84" s="140">
        <f t="shared" si="3"/>
        <v>0</v>
      </c>
      <c r="H84" s="140">
        <f t="shared" si="4"/>
        <v>0</v>
      </c>
      <c r="I84" s="140">
        <f t="shared" si="5"/>
        <v>0</v>
      </c>
      <c r="J84" s="152" t="s">
        <v>108</v>
      </c>
      <c r="K84" s="153" t="s">
        <v>109</v>
      </c>
      <c r="L84" s="31"/>
      <c r="M84" s="125">
        <f>SUM(I77:I84)-SUM(G77:G84)</f>
        <v>0</v>
      </c>
    </row>
    <row r="85" spans="1:13" s="132" customFormat="1" ht="12" customHeight="1" x14ac:dyDescent="0.3">
      <c r="A85" s="72"/>
      <c r="B85" s="143"/>
      <c r="C85" s="130"/>
      <c r="D85" s="265"/>
      <c r="E85" s="122"/>
      <c r="F85" s="122"/>
      <c r="G85" s="21">
        <f>SUM(G77:G84)</f>
        <v>0</v>
      </c>
      <c r="H85" s="21">
        <f>SUM(H77:H84)</f>
        <v>0</v>
      </c>
      <c r="I85" s="21">
        <f>SUM(I77:I84)</f>
        <v>0</v>
      </c>
      <c r="J85" s="21">
        <f>G85</f>
        <v>0</v>
      </c>
      <c r="K85" s="34">
        <f>I85</f>
        <v>0</v>
      </c>
      <c r="L85" s="154">
        <f>IF(J85=0,0,(K85-J85)/J85)</f>
        <v>0</v>
      </c>
      <c r="M85" s="187">
        <f>M73+M84</f>
        <v>0</v>
      </c>
    </row>
    <row r="86" spans="1:13" s="31" customFormat="1" ht="13.8" x14ac:dyDescent="0.3">
      <c r="A86" s="110"/>
      <c r="B86" s="115"/>
      <c r="C86" s="116"/>
      <c r="D86" s="274"/>
      <c r="E86" s="117"/>
      <c r="F86" s="117"/>
      <c r="G86" s="118"/>
      <c r="H86" s="110"/>
      <c r="I86" s="161"/>
      <c r="J86" s="162">
        <f>J74+J85</f>
        <v>0</v>
      </c>
      <c r="K86" s="162">
        <f>K74+K85</f>
        <v>0</v>
      </c>
      <c r="L86" s="119">
        <f>IF(J86=0,0,(K86-J86)/K86)</f>
        <v>0</v>
      </c>
      <c r="M86" s="173"/>
    </row>
    <row r="87" spans="1:13" s="31" customFormat="1" ht="13.8" x14ac:dyDescent="0.3">
      <c r="A87" s="112"/>
      <c r="B87" s="223"/>
      <c r="C87" s="214"/>
      <c r="D87" s="275"/>
      <c r="E87" s="215"/>
      <c r="F87" s="215"/>
      <c r="G87" s="216"/>
      <c r="H87" s="112"/>
      <c r="I87" s="217"/>
      <c r="J87" s="218"/>
      <c r="K87" s="218"/>
      <c r="L87" s="212"/>
      <c r="M87" s="213"/>
    </row>
    <row r="88" spans="1:13" ht="15.6" x14ac:dyDescent="0.3">
      <c r="B88" s="241" t="s">
        <v>182</v>
      </c>
      <c r="C88" s="129"/>
      <c r="D88" s="129"/>
      <c r="E88" s="129"/>
      <c r="F88" s="129"/>
      <c r="H88" s="132"/>
      <c r="I88" s="132"/>
      <c r="L88" s="221" t="s">
        <v>85</v>
      </c>
      <c r="M88" s="222"/>
    </row>
    <row r="89" spans="1:13" s="132" customFormat="1" ht="12" customHeight="1" x14ac:dyDescent="0.3">
      <c r="A89" s="72"/>
      <c r="B89" s="24" t="s">
        <v>135</v>
      </c>
      <c r="C89" s="22"/>
      <c r="D89" s="266" t="s">
        <v>87</v>
      </c>
      <c r="E89" s="23"/>
      <c r="F89" s="133"/>
      <c r="H89" s="14"/>
      <c r="I89" s="14"/>
      <c r="J89" s="14"/>
      <c r="K89" s="14"/>
      <c r="L89" s="219" t="s">
        <v>88</v>
      </c>
      <c r="M89" s="220"/>
    </row>
    <row r="90" spans="1:13" s="132" customFormat="1" ht="12" customHeight="1" x14ac:dyDescent="0.3">
      <c r="A90" s="72"/>
      <c r="B90" s="24" t="s">
        <v>141</v>
      </c>
      <c r="C90" s="25"/>
      <c r="D90" s="266" t="s">
        <v>89</v>
      </c>
      <c r="E90" s="23"/>
      <c r="K90" s="14"/>
      <c r="L90" s="126" t="s">
        <v>90</v>
      </c>
      <c r="M90" s="127"/>
    </row>
    <row r="91" spans="1:13" s="132" customFormat="1" ht="12" customHeight="1" x14ac:dyDescent="0.3">
      <c r="A91" s="72"/>
      <c r="B91" s="24" t="s">
        <v>142</v>
      </c>
      <c r="C91" s="27" t="str">
        <f>IF(C89="","",IF(E91="","",C89/E91+C90))</f>
        <v/>
      </c>
      <c r="D91" s="266" t="s">
        <v>91</v>
      </c>
      <c r="E91" s="23"/>
      <c r="I91" s="26"/>
      <c r="J91" s="26"/>
      <c r="K91" s="14"/>
      <c r="L91" s="126" t="s">
        <v>92</v>
      </c>
      <c r="M91" s="127"/>
    </row>
    <row r="92" spans="1:13" s="132" customFormat="1" ht="12" customHeight="1" x14ac:dyDescent="0.3">
      <c r="A92" s="72"/>
      <c r="B92" s="59" t="s">
        <v>143</v>
      </c>
      <c r="C92" s="260"/>
      <c r="D92" s="266" t="s">
        <v>25</v>
      </c>
      <c r="E92" s="128">
        <f>SUM(C97:C101)</f>
        <v>0</v>
      </c>
      <c r="I92" s="26"/>
      <c r="J92" s="26"/>
      <c r="K92" s="14"/>
      <c r="L92" s="93" t="s">
        <v>94</v>
      </c>
      <c r="M92" s="94"/>
    </row>
    <row r="93" spans="1:13" s="132" customFormat="1" ht="12" customHeight="1" x14ac:dyDescent="0.3">
      <c r="A93" s="72"/>
      <c r="B93" s="59" t="s">
        <v>144</v>
      </c>
      <c r="C93" s="25"/>
      <c r="D93" s="266" t="s">
        <v>44</v>
      </c>
      <c r="E93" s="244">
        <f>IF(E92=0,0,(C91/C92)/C93)</f>
        <v>0</v>
      </c>
      <c r="I93" s="26"/>
      <c r="J93" s="26"/>
      <c r="K93" s="14"/>
      <c r="L93" s="57" t="s">
        <v>70</v>
      </c>
      <c r="M93" s="58">
        <f>M9</f>
        <v>0.05</v>
      </c>
    </row>
    <row r="94" spans="1:13" s="132" customFormat="1" ht="12" customHeight="1" x14ac:dyDescent="0.3">
      <c r="A94" s="72"/>
      <c r="B94" s="28"/>
      <c r="C94" s="122"/>
      <c r="D94" s="267"/>
      <c r="E94" s="211"/>
      <c r="I94" s="26"/>
      <c r="J94" s="26"/>
      <c r="K94" s="14"/>
      <c r="L94" s="57" t="s">
        <v>80</v>
      </c>
      <c r="M94" s="58">
        <f>M10</f>
        <v>0.05</v>
      </c>
    </row>
    <row r="95" spans="1:13" s="132" customFormat="1" ht="12" customHeight="1" x14ac:dyDescent="0.3">
      <c r="A95" s="72"/>
      <c r="B95" s="28"/>
      <c r="C95" s="28"/>
      <c r="D95" s="43"/>
      <c r="H95" s="29"/>
      <c r="I95" s="29"/>
      <c r="J95" s="29"/>
      <c r="K95" s="29"/>
      <c r="M95" s="71"/>
    </row>
    <row r="96" spans="1:13" s="132" customFormat="1" ht="27.6" x14ac:dyDescent="0.3">
      <c r="A96" s="246" t="s">
        <v>145</v>
      </c>
      <c r="B96" s="246" t="s">
        <v>70</v>
      </c>
      <c r="C96" s="48" t="s">
        <v>47</v>
      </c>
      <c r="D96" s="135" t="s">
        <v>97</v>
      </c>
      <c r="E96" s="48" t="s">
        <v>98</v>
      </c>
      <c r="F96" s="48" t="s">
        <v>99</v>
      </c>
      <c r="G96" s="48" t="s">
        <v>22</v>
      </c>
      <c r="H96" s="48" t="s">
        <v>23</v>
      </c>
      <c r="I96" s="135" t="s">
        <v>100</v>
      </c>
      <c r="J96" s="136"/>
      <c r="K96" s="52"/>
      <c r="L96" s="48" t="s">
        <v>101</v>
      </c>
      <c r="M96" s="48" t="s">
        <v>0</v>
      </c>
    </row>
    <row r="97" spans="1:13" s="132" customFormat="1" ht="12" customHeight="1" x14ac:dyDescent="0.3">
      <c r="A97" s="137"/>
      <c r="B97" s="71" t="str">
        <f>IF(A97="","",VLOOKUP(A97,'Database Lab+Equip'!$A:$D,2,FALSE))</f>
        <v/>
      </c>
      <c r="C97" s="139"/>
      <c r="D97" s="268"/>
      <c r="E97" s="140">
        <f>IF(A97="",0,VLOOKUP(A97,'Database Lab+Equip'!$A:$D,3,FALSE))</f>
        <v>0</v>
      </c>
      <c r="F97" s="140">
        <f>IF(A97="",0,VLOOKUP(A97,'Database Lab+Equip'!$A:$D,4,FALSE))</f>
        <v>0</v>
      </c>
      <c r="G97" s="140">
        <f>IF(A97="",0,C97*D97*E97*E$93)</f>
        <v>0</v>
      </c>
      <c r="H97" s="140">
        <f>IF(A97="",0,C97*D97*F97*E$93)</f>
        <v>0</v>
      </c>
      <c r="I97" s="140">
        <f>(H97*$M$93)+H97</f>
        <v>0</v>
      </c>
      <c r="J97" s="154"/>
      <c r="K97" s="26"/>
      <c r="M97" s="84"/>
    </row>
    <row r="98" spans="1:13" s="132" customFormat="1" ht="12" customHeight="1" x14ac:dyDescent="0.3">
      <c r="A98" s="137"/>
      <c r="B98" s="71" t="str">
        <f>IF(A98="","",VLOOKUP(A98,'Database Lab+Equip'!$A:$D,2,FALSE))</f>
        <v/>
      </c>
      <c r="C98" s="142"/>
      <c r="D98" s="269"/>
      <c r="E98" s="140">
        <f>IF(A98="",0,VLOOKUP(A98,'Database Lab+Equip'!$A:$D,3,FALSE))</f>
        <v>0</v>
      </c>
      <c r="F98" s="140">
        <f>IF(A98="",0,VLOOKUP(A98,'Database Lab+Equip'!$A:$D,4,FALSE))</f>
        <v>0</v>
      </c>
      <c r="G98" s="140">
        <f>IF(A98="",0,C98*D98*E98*E$93)</f>
        <v>0</v>
      </c>
      <c r="H98" s="140">
        <f>IF(A98="",0,C98*D98*F98*E$93)</f>
        <v>0</v>
      </c>
      <c r="I98" s="140">
        <f>(H98*$M$93)+H98</f>
        <v>0</v>
      </c>
      <c r="J98" s="154"/>
      <c r="K98" s="26"/>
      <c r="M98" s="122"/>
    </row>
    <row r="99" spans="1:13" s="132" customFormat="1" ht="12" customHeight="1" x14ac:dyDescent="0.3">
      <c r="A99" s="137"/>
      <c r="B99" s="71" t="str">
        <f>IF(A99="","",VLOOKUP(A99,'Database Lab+Equip'!$A:$D,2,FALSE))</f>
        <v/>
      </c>
      <c r="C99" s="142"/>
      <c r="D99" s="269"/>
      <c r="E99" s="140">
        <f>IF(A99="",0,VLOOKUP(A99,'Database Lab+Equip'!$A:$D,3,FALSE))</f>
        <v>0</v>
      </c>
      <c r="F99" s="140">
        <f>IF(A99="",0,VLOOKUP(A99,'Database Lab+Equip'!$A:$D,4,FALSE))</f>
        <v>0</v>
      </c>
      <c r="G99" s="140">
        <f>IF(A99="",0,C99*D99*E99*E$93)</f>
        <v>0</v>
      </c>
      <c r="H99" s="140">
        <f>IF(A99="",0,C99*D99*F99*E$93)</f>
        <v>0</v>
      </c>
      <c r="I99" s="140">
        <f>(H99*$M$93)+H99</f>
        <v>0</v>
      </c>
      <c r="J99" s="154"/>
      <c r="K99" s="26"/>
      <c r="M99" s="122"/>
    </row>
    <row r="100" spans="1:13" s="132" customFormat="1" ht="12" customHeight="1" x14ac:dyDescent="0.3">
      <c r="A100" s="137"/>
      <c r="B100" s="71" t="str">
        <f>IF(A100="","",VLOOKUP(A100,'Database Lab+Equip'!$A:$D,2,FALSE))</f>
        <v/>
      </c>
      <c r="C100" s="142"/>
      <c r="D100" s="269"/>
      <c r="E100" s="140">
        <f>IF(A100="",0,VLOOKUP(A100,'Database Lab+Equip'!$A:$D,3,FALSE))</f>
        <v>0</v>
      </c>
      <c r="F100" s="140">
        <f>IF(A100="",0,VLOOKUP(A100,'Database Lab+Equip'!$A:$D,4,FALSE))</f>
        <v>0</v>
      </c>
      <c r="G100" s="140">
        <f>IF(A100="",0,C100*D100*E100*E$93)</f>
        <v>0</v>
      </c>
      <c r="H100" s="140">
        <f>IF(A100="",0,C100*D100*F100*E$93)</f>
        <v>0</v>
      </c>
      <c r="I100" s="140">
        <f>(H100*$M$93)+H100</f>
        <v>0</v>
      </c>
      <c r="J100" s="154"/>
      <c r="K100" s="26"/>
      <c r="M100" s="122"/>
    </row>
    <row r="101" spans="1:13" s="132" customFormat="1" ht="12" customHeight="1" x14ac:dyDescent="0.3">
      <c r="A101" s="137"/>
      <c r="B101" s="71" t="str">
        <f>IF(A101="","",VLOOKUP(A101,'Database Lab+Equip'!$A:$D,2,FALSE))</f>
        <v/>
      </c>
      <c r="C101" s="142"/>
      <c r="D101" s="269"/>
      <c r="E101" s="140">
        <f>IF(A101="",0,VLOOKUP(A101,'Database Lab+Equip'!$A:$D,3,FALSE))</f>
        <v>0</v>
      </c>
      <c r="F101" s="140">
        <f>IF(A101="",0,VLOOKUP(A101,'Database Lab+Equip'!$A:$D,4,FALSE))</f>
        <v>0</v>
      </c>
      <c r="G101" s="140">
        <f>IF(A101="",0,C101*D101*E101*E$93)</f>
        <v>0</v>
      </c>
      <c r="H101" s="140">
        <f>IF(A101="",0,C101*D101*F101*E$93)</f>
        <v>0</v>
      </c>
      <c r="I101" s="140">
        <f>(H101*$M$93)+H101</f>
        <v>0</v>
      </c>
      <c r="J101" s="152" t="s">
        <v>108</v>
      </c>
      <c r="K101" s="153" t="s">
        <v>109</v>
      </c>
      <c r="L101" s="31"/>
      <c r="M101" s="123">
        <f>SUM(I97:I101)-SUM(G97:G101)</f>
        <v>0</v>
      </c>
    </row>
    <row r="102" spans="1:13" s="132" customFormat="1" ht="12" customHeight="1" x14ac:dyDescent="0.3">
      <c r="A102" s="35"/>
      <c r="C102" s="140"/>
      <c r="D102" s="270"/>
      <c r="E102" s="140"/>
      <c r="F102" s="140"/>
      <c r="G102" s="21">
        <f>SUM(G97:G101)</f>
        <v>0</v>
      </c>
      <c r="H102" s="21">
        <f>SUM(H97:H101)</f>
        <v>0</v>
      </c>
      <c r="I102" s="21">
        <f>SUM(I97:I101)</f>
        <v>0</v>
      </c>
      <c r="J102" s="21">
        <f>G102</f>
        <v>0</v>
      </c>
      <c r="K102" s="34">
        <f>I102</f>
        <v>0</v>
      </c>
      <c r="L102" s="154">
        <f>IF(J102=0,0,(K102-J102)/J102)</f>
        <v>0</v>
      </c>
      <c r="M102" s="122"/>
    </row>
    <row r="103" spans="1:13" s="132" customFormat="1" ht="12" customHeight="1" x14ac:dyDescent="0.3">
      <c r="A103" s="35"/>
      <c r="B103" s="71"/>
      <c r="C103" s="122"/>
      <c r="D103" s="265"/>
      <c r="E103" s="122"/>
      <c r="F103" s="122"/>
      <c r="G103" s="122"/>
      <c r="H103" s="122"/>
      <c r="I103" s="144"/>
      <c r="J103" s="84"/>
      <c r="K103" s="29"/>
      <c r="L103" s="122"/>
      <c r="M103" s="122"/>
    </row>
    <row r="104" spans="1:13" s="132" customFormat="1" ht="41.4" x14ac:dyDescent="0.3">
      <c r="A104" s="246" t="s">
        <v>96</v>
      </c>
      <c r="B104" s="246" t="s">
        <v>80</v>
      </c>
      <c r="C104" s="48" t="s">
        <v>47</v>
      </c>
      <c r="D104" s="135" t="s">
        <v>110</v>
      </c>
      <c r="E104" s="48" t="s">
        <v>98</v>
      </c>
      <c r="F104" s="48" t="s">
        <v>99</v>
      </c>
      <c r="G104" s="48" t="s">
        <v>22</v>
      </c>
      <c r="H104" s="48" t="s">
        <v>23</v>
      </c>
      <c r="I104" s="135" t="s">
        <v>100</v>
      </c>
      <c r="J104" s="145"/>
      <c r="K104" s="48"/>
      <c r="L104" s="124"/>
      <c r="M104" s="124"/>
    </row>
    <row r="105" spans="1:13" s="132" customFormat="1" ht="12" customHeight="1" x14ac:dyDescent="0.3">
      <c r="A105" s="148"/>
      <c r="B105" s="71" t="str">
        <f>IF(A105="","",VLOOKUP(A105,'Database Lab+Equip'!$F:$I,2,FALSE))</f>
        <v/>
      </c>
      <c r="C105" s="139"/>
      <c r="D105" s="271"/>
      <c r="E105" s="140">
        <f>IF(A105="",0,VLOOKUP(A105,'Database Lab+Equip'!$F:$I,3,FALSE))</f>
        <v>0</v>
      </c>
      <c r="F105" s="140">
        <f>IF(A105="",0,VLOOKUP(A105,'Database Lab+Equip'!$F:$I,4,FALSE))</f>
        <v>0</v>
      </c>
      <c r="G105" s="140">
        <f>IF(A105="",0,C105*D105*E105*E$93)</f>
        <v>0</v>
      </c>
      <c r="H105" s="140">
        <f>IF(A105="",0,C105*D105*F105*E$93)</f>
        <v>0</v>
      </c>
      <c r="I105" s="140">
        <f>(H105*$M$94)+H105</f>
        <v>0</v>
      </c>
      <c r="J105" s="84"/>
      <c r="K105" s="29"/>
      <c r="L105" s="122"/>
      <c r="M105" s="84"/>
    </row>
    <row r="106" spans="1:13" s="132" customFormat="1" ht="12" customHeight="1" x14ac:dyDescent="0.3">
      <c r="A106" s="148"/>
      <c r="B106" s="71" t="str">
        <f>IF(A106="","",VLOOKUP(A106,'Database Lab+Equip'!$F:$I,2,FALSE))</f>
        <v/>
      </c>
      <c r="C106" s="142"/>
      <c r="D106" s="272"/>
      <c r="E106" s="140">
        <f>IF(A106="",0,VLOOKUP(A106,'Database Lab+Equip'!$F:$I,3,FALSE))</f>
        <v>0</v>
      </c>
      <c r="F106" s="140">
        <f>IF(A106="",0,VLOOKUP(A106,'Database Lab+Equip'!$F:$I,4,FALSE))</f>
        <v>0</v>
      </c>
      <c r="G106" s="140">
        <f t="shared" ref="G106:G112" si="6">IF(A106="",0,C106*D106*E106*E$93)</f>
        <v>0</v>
      </c>
      <c r="H106" s="140">
        <f t="shared" ref="H106:H112" si="7">IF(A106="",0,C106*D106*F106*E$93)</f>
        <v>0</v>
      </c>
      <c r="I106" s="140">
        <f t="shared" ref="I106:I112" si="8">(H106*$M$94)+H106</f>
        <v>0</v>
      </c>
      <c r="J106" s="122"/>
      <c r="K106" s="29"/>
      <c r="L106" s="122"/>
      <c r="M106" s="122"/>
    </row>
    <row r="107" spans="1:13" s="132" customFormat="1" ht="12" customHeight="1" x14ac:dyDescent="0.3">
      <c r="A107" s="148"/>
      <c r="B107" s="71" t="str">
        <f>IF(A107="","",VLOOKUP(A107,'Database Lab+Equip'!$F:$I,2,FALSE))</f>
        <v/>
      </c>
      <c r="C107" s="142"/>
      <c r="D107" s="272"/>
      <c r="E107" s="140">
        <f>IF(A107="",0,VLOOKUP(A107,'Database Lab+Equip'!$F:$I,3,FALSE))</f>
        <v>0</v>
      </c>
      <c r="F107" s="140">
        <f>IF(A107="",0,VLOOKUP(A107,'Database Lab+Equip'!$F:$I,4,FALSE))</f>
        <v>0</v>
      </c>
      <c r="G107" s="140">
        <f t="shared" si="6"/>
        <v>0</v>
      </c>
      <c r="H107" s="140">
        <f t="shared" si="7"/>
        <v>0</v>
      </c>
      <c r="I107" s="140">
        <f t="shared" si="8"/>
        <v>0</v>
      </c>
      <c r="J107" s="84"/>
      <c r="K107" s="29"/>
      <c r="L107" s="122"/>
      <c r="M107" s="122"/>
    </row>
    <row r="108" spans="1:13" s="132" customFormat="1" ht="12" customHeight="1" x14ac:dyDescent="0.3">
      <c r="A108" s="148"/>
      <c r="B108" s="71" t="str">
        <f>IF(A108="","",VLOOKUP(A108,'Database Lab+Equip'!$F:$I,2,FALSE))</f>
        <v/>
      </c>
      <c r="C108" s="142"/>
      <c r="D108" s="272"/>
      <c r="E108" s="140">
        <f>IF(A108="",0,VLOOKUP(A108,'Database Lab+Equip'!$F:$I,3,FALSE))</f>
        <v>0</v>
      </c>
      <c r="F108" s="140">
        <f>IF(A108="",0,VLOOKUP(A108,'Database Lab+Equip'!$F:$I,4,FALSE))</f>
        <v>0</v>
      </c>
      <c r="G108" s="140">
        <f t="shared" si="6"/>
        <v>0</v>
      </c>
      <c r="H108" s="140">
        <f t="shared" si="7"/>
        <v>0</v>
      </c>
      <c r="I108" s="140">
        <f t="shared" si="8"/>
        <v>0</v>
      </c>
      <c r="J108" s="84"/>
      <c r="K108" s="29"/>
      <c r="L108" s="122"/>
      <c r="M108" s="122"/>
    </row>
    <row r="109" spans="1:13" s="132" customFormat="1" ht="12" customHeight="1" x14ac:dyDescent="0.3">
      <c r="A109" s="148"/>
      <c r="B109" s="71" t="str">
        <f>IF(A109="","",VLOOKUP(A109,'Database Lab+Equip'!$F:$I,2,FALSE))</f>
        <v/>
      </c>
      <c r="C109" s="142"/>
      <c r="D109" s="272"/>
      <c r="E109" s="140">
        <f>IF(A109="",0,VLOOKUP(A109,'Database Lab+Equip'!$F:$I,3,FALSE))</f>
        <v>0</v>
      </c>
      <c r="F109" s="140">
        <f>IF(A109="",0,VLOOKUP(A109,'Database Lab+Equip'!$F:$I,4,FALSE))</f>
        <v>0</v>
      </c>
      <c r="G109" s="140">
        <f t="shared" si="6"/>
        <v>0</v>
      </c>
      <c r="H109" s="140">
        <f t="shared" si="7"/>
        <v>0</v>
      </c>
      <c r="I109" s="140">
        <f t="shared" si="8"/>
        <v>0</v>
      </c>
      <c r="J109" s="84"/>
      <c r="K109" s="29"/>
      <c r="L109" s="122"/>
      <c r="M109" s="122"/>
    </row>
    <row r="110" spans="1:13" s="132" customFormat="1" ht="12" customHeight="1" x14ac:dyDescent="0.3">
      <c r="A110" s="148"/>
      <c r="B110" s="71" t="str">
        <f>IF(A110="","",VLOOKUP(A110,'Database Lab+Equip'!$F:$I,2,FALSE))</f>
        <v/>
      </c>
      <c r="C110" s="142"/>
      <c r="D110" s="272"/>
      <c r="E110" s="140">
        <f>IF(A110="",0,VLOOKUP(A110,'Database Lab+Equip'!$F:$I,3,FALSE))</f>
        <v>0</v>
      </c>
      <c r="F110" s="140">
        <f>IF(A110="",0,VLOOKUP(A110,'Database Lab+Equip'!$F:$I,4,FALSE))</f>
        <v>0</v>
      </c>
      <c r="G110" s="140">
        <f t="shared" si="6"/>
        <v>0</v>
      </c>
      <c r="H110" s="140">
        <f t="shared" si="7"/>
        <v>0</v>
      </c>
      <c r="I110" s="140">
        <f t="shared" si="8"/>
        <v>0</v>
      </c>
      <c r="J110" s="84"/>
      <c r="K110" s="29"/>
      <c r="L110" s="122"/>
      <c r="M110" s="122"/>
    </row>
    <row r="111" spans="1:13" s="132" customFormat="1" ht="12" customHeight="1" x14ac:dyDescent="0.3">
      <c r="A111" s="148"/>
      <c r="B111" s="71" t="str">
        <f>IF(A111="","",VLOOKUP(A111,'Database Lab+Equip'!$F:$I,2,FALSE))</f>
        <v/>
      </c>
      <c r="C111" s="142"/>
      <c r="D111" s="272"/>
      <c r="E111" s="140">
        <f>IF(A111="",0,VLOOKUP(A111,'Database Lab+Equip'!$F:$I,3,FALSE))</f>
        <v>0</v>
      </c>
      <c r="F111" s="140">
        <f>IF(A111="",0,VLOOKUP(A111,'Database Lab+Equip'!$F:$I,4,FALSE))</f>
        <v>0</v>
      </c>
      <c r="G111" s="140">
        <f t="shared" si="6"/>
        <v>0</v>
      </c>
      <c r="H111" s="140">
        <f t="shared" si="7"/>
        <v>0</v>
      </c>
      <c r="I111" s="140">
        <f t="shared" si="8"/>
        <v>0</v>
      </c>
      <c r="J111" s="84"/>
      <c r="K111" s="29"/>
      <c r="L111" s="122"/>
      <c r="M111" s="122"/>
    </row>
    <row r="112" spans="1:13" s="132" customFormat="1" ht="12" customHeight="1" x14ac:dyDescent="0.3">
      <c r="A112" s="148"/>
      <c r="B112" s="71" t="str">
        <f>IF(A112="","",VLOOKUP(A112,'Database Lab+Equip'!$F:$I,2,FALSE))</f>
        <v/>
      </c>
      <c r="C112" s="150"/>
      <c r="D112" s="273"/>
      <c r="E112" s="140">
        <f>IF(A112="",0,VLOOKUP(A112,'Database Lab+Equip'!$F:$I,3,FALSE))</f>
        <v>0</v>
      </c>
      <c r="F112" s="140">
        <f>IF(A112="",0,VLOOKUP(A112,'Database Lab+Equip'!$F:$I,4,FALSE))</f>
        <v>0</v>
      </c>
      <c r="G112" s="140">
        <f t="shared" si="6"/>
        <v>0</v>
      </c>
      <c r="H112" s="140">
        <f t="shared" si="7"/>
        <v>0</v>
      </c>
      <c r="I112" s="140">
        <f t="shared" si="8"/>
        <v>0</v>
      </c>
      <c r="J112" s="152" t="s">
        <v>108</v>
      </c>
      <c r="K112" s="153" t="s">
        <v>109</v>
      </c>
      <c r="L112" s="31"/>
      <c r="M112" s="125">
        <f>SUM(I105:I112)-SUM(G105:G112)</f>
        <v>0</v>
      </c>
    </row>
    <row r="113" spans="1:13" s="132" customFormat="1" ht="12" customHeight="1" x14ac:dyDescent="0.3">
      <c r="A113" s="72"/>
      <c r="B113" s="143"/>
      <c r="C113" s="130"/>
      <c r="D113" s="265"/>
      <c r="E113" s="122"/>
      <c r="F113" s="122"/>
      <c r="G113" s="21">
        <f>SUM(G105:G112)</f>
        <v>0</v>
      </c>
      <c r="H113" s="21">
        <f>SUM(H105:H112)</f>
        <v>0</v>
      </c>
      <c r="I113" s="21">
        <f>SUM(I105:I112)</f>
        <v>0</v>
      </c>
      <c r="J113" s="21">
        <f>G113</f>
        <v>0</v>
      </c>
      <c r="K113" s="34">
        <f>I113</f>
        <v>0</v>
      </c>
      <c r="L113" s="154">
        <f>IF(J113=0,0,(K113-J113)/J113)</f>
        <v>0</v>
      </c>
      <c r="M113" s="187">
        <f>M101+M112</f>
        <v>0</v>
      </c>
    </row>
    <row r="114" spans="1:13" s="31" customFormat="1" ht="13.8" x14ac:dyDescent="0.3">
      <c r="A114" s="110"/>
      <c r="B114" s="115"/>
      <c r="C114" s="116"/>
      <c r="D114" s="274"/>
      <c r="E114" s="117"/>
      <c r="F114" s="117"/>
      <c r="G114" s="118"/>
      <c r="H114" s="110"/>
      <c r="I114" s="161"/>
      <c r="J114" s="162">
        <f>J102+J113</f>
        <v>0</v>
      </c>
      <c r="K114" s="162">
        <f>K102+K113</f>
        <v>0</v>
      </c>
      <c r="L114" s="119">
        <f>IF(J114=0,0,(K114-J114)/K114)</f>
        <v>0</v>
      </c>
      <c r="M114" s="173"/>
    </row>
    <row r="115" spans="1:13" s="31" customFormat="1" ht="13.8" x14ac:dyDescent="0.3">
      <c r="A115" s="112"/>
      <c r="B115" s="223"/>
      <c r="C115" s="214"/>
      <c r="D115" s="275"/>
      <c r="E115" s="215"/>
      <c r="F115" s="215"/>
      <c r="G115" s="216"/>
      <c r="H115" s="112"/>
      <c r="I115" s="217"/>
      <c r="J115" s="218"/>
      <c r="K115" s="218"/>
      <c r="L115" s="212"/>
      <c r="M115" s="213"/>
    </row>
    <row r="116" spans="1:13" s="132" customFormat="1" ht="15.6" x14ac:dyDescent="0.3">
      <c r="A116" s="72"/>
      <c r="B116" s="241" t="s">
        <v>169</v>
      </c>
      <c r="C116" s="129"/>
      <c r="D116" s="129"/>
      <c r="E116" s="129"/>
      <c r="F116" s="129"/>
      <c r="G116" s="122"/>
      <c r="L116" s="221" t="s">
        <v>85</v>
      </c>
      <c r="M116" s="222"/>
    </row>
    <row r="117" spans="1:13" s="132" customFormat="1" ht="12" customHeight="1" x14ac:dyDescent="0.3">
      <c r="A117" s="72"/>
      <c r="B117" s="24" t="s">
        <v>135</v>
      </c>
      <c r="C117" s="22"/>
      <c r="D117" s="266" t="s">
        <v>87</v>
      </c>
      <c r="E117" s="23"/>
      <c r="F117" s="133"/>
      <c r="H117" s="14"/>
      <c r="I117" s="14"/>
      <c r="J117" s="14"/>
      <c r="K117" s="14"/>
      <c r="L117" s="219" t="s">
        <v>88</v>
      </c>
      <c r="M117" s="220"/>
    </row>
    <row r="118" spans="1:13" s="132" customFormat="1" ht="12" customHeight="1" x14ac:dyDescent="0.3">
      <c r="A118" s="72"/>
      <c r="B118" s="24" t="s">
        <v>141</v>
      </c>
      <c r="C118" s="25"/>
      <c r="D118" s="266" t="s">
        <v>89</v>
      </c>
      <c r="E118" s="23"/>
      <c r="K118" s="14"/>
      <c r="L118" s="126" t="s">
        <v>90</v>
      </c>
      <c r="M118" s="127"/>
    </row>
    <row r="119" spans="1:13" s="132" customFormat="1" ht="12" customHeight="1" x14ac:dyDescent="0.3">
      <c r="A119" s="72"/>
      <c r="B119" s="24" t="s">
        <v>142</v>
      </c>
      <c r="C119" s="27" t="str">
        <f>IF(C117="","",IF(E119="","",C117/E119+C118))</f>
        <v/>
      </c>
      <c r="D119" s="266" t="s">
        <v>91</v>
      </c>
      <c r="E119" s="23"/>
      <c r="I119" s="26"/>
      <c r="J119" s="26"/>
      <c r="K119" s="14"/>
      <c r="L119" s="126" t="s">
        <v>92</v>
      </c>
      <c r="M119" s="127"/>
    </row>
    <row r="120" spans="1:13" s="132" customFormat="1" ht="12" customHeight="1" x14ac:dyDescent="0.3">
      <c r="A120" s="72"/>
      <c r="B120" s="59" t="s">
        <v>143</v>
      </c>
      <c r="C120" s="260"/>
      <c r="D120" s="266" t="s">
        <v>25</v>
      </c>
      <c r="E120" s="128">
        <f>SUM(C125:C129)</f>
        <v>0</v>
      </c>
      <c r="I120" s="26"/>
      <c r="J120" s="26"/>
      <c r="K120" s="14"/>
      <c r="L120" s="93" t="s">
        <v>94</v>
      </c>
      <c r="M120" s="94"/>
    </row>
    <row r="121" spans="1:13" s="132" customFormat="1" ht="12" customHeight="1" x14ac:dyDescent="0.3">
      <c r="A121" s="72"/>
      <c r="B121" s="59" t="s">
        <v>144</v>
      </c>
      <c r="C121" s="25"/>
      <c r="D121" s="266" t="s">
        <v>44</v>
      </c>
      <c r="E121" s="244">
        <f>IF(E120=0,0,(C119/C120)/C121)</f>
        <v>0</v>
      </c>
      <c r="I121" s="26"/>
      <c r="J121" s="26"/>
      <c r="K121" s="14"/>
      <c r="L121" s="57" t="s">
        <v>70</v>
      </c>
      <c r="M121" s="58">
        <f>M9</f>
        <v>0.05</v>
      </c>
    </row>
    <row r="122" spans="1:13" s="132" customFormat="1" ht="12" customHeight="1" x14ac:dyDescent="0.3">
      <c r="A122" s="72"/>
      <c r="B122" s="28"/>
      <c r="C122" s="122"/>
      <c r="D122" s="267"/>
      <c r="E122" s="211"/>
      <c r="I122" s="26"/>
      <c r="J122" s="26"/>
      <c r="K122" s="14"/>
      <c r="L122" s="57" t="s">
        <v>80</v>
      </c>
      <c r="M122" s="58">
        <f>M10</f>
        <v>0.05</v>
      </c>
    </row>
    <row r="123" spans="1:13" s="132" customFormat="1" ht="12" customHeight="1" x14ac:dyDescent="0.3">
      <c r="A123" s="72"/>
      <c r="B123" s="28"/>
      <c r="C123" s="28"/>
      <c r="D123" s="43"/>
      <c r="H123" s="29"/>
      <c r="I123" s="29"/>
      <c r="J123" s="29"/>
      <c r="K123" s="29"/>
      <c r="M123" s="71"/>
    </row>
    <row r="124" spans="1:13" s="132" customFormat="1" ht="27.6" x14ac:dyDescent="0.3">
      <c r="A124" s="246" t="s">
        <v>145</v>
      </c>
      <c r="B124" s="246" t="s">
        <v>70</v>
      </c>
      <c r="C124" s="48" t="s">
        <v>47</v>
      </c>
      <c r="D124" s="135" t="s">
        <v>97</v>
      </c>
      <c r="E124" s="48" t="s">
        <v>98</v>
      </c>
      <c r="F124" s="48" t="s">
        <v>99</v>
      </c>
      <c r="G124" s="48" t="s">
        <v>22</v>
      </c>
      <c r="H124" s="48" t="s">
        <v>23</v>
      </c>
      <c r="I124" s="135" t="s">
        <v>100</v>
      </c>
      <c r="J124" s="136"/>
      <c r="K124" s="52"/>
      <c r="L124" s="48" t="s">
        <v>101</v>
      </c>
      <c r="M124" s="48" t="s">
        <v>0</v>
      </c>
    </row>
    <row r="125" spans="1:13" s="132" customFormat="1" ht="12" customHeight="1" x14ac:dyDescent="0.3">
      <c r="A125" s="137"/>
      <c r="B125" s="71" t="str">
        <f>IF(A125="","",VLOOKUP(A125,'Database Lab+Equip'!$A:$D,2,FALSE))</f>
        <v/>
      </c>
      <c r="C125" s="139"/>
      <c r="D125" s="268"/>
      <c r="E125" s="140">
        <f>IF(A125="",0,VLOOKUP(A125,'Database Lab+Equip'!$A:$D,3,FALSE))</f>
        <v>0</v>
      </c>
      <c r="F125" s="140">
        <f>IF(A125="",0,VLOOKUP(A125,'Database Lab+Equip'!$A:$D,4,FALSE))</f>
        <v>0</v>
      </c>
      <c r="G125" s="140">
        <f>IF(A125="",0,C125*D125*E125*E$121)</f>
        <v>0</v>
      </c>
      <c r="H125" s="140">
        <f>IF(A125="",0,C125*D125*F125*E$121)</f>
        <v>0</v>
      </c>
      <c r="I125" s="140">
        <f>(H125*$M$121)+H125</f>
        <v>0</v>
      </c>
      <c r="J125" s="154"/>
      <c r="K125" s="26"/>
      <c r="M125" s="84"/>
    </row>
    <row r="126" spans="1:13" s="132" customFormat="1" ht="12" customHeight="1" x14ac:dyDescent="0.3">
      <c r="A126" s="137"/>
      <c r="B126" s="71" t="str">
        <f>IF(A126="","",VLOOKUP(A126,'Database Lab+Equip'!$A:$D,2,FALSE))</f>
        <v/>
      </c>
      <c r="C126" s="142"/>
      <c r="D126" s="269"/>
      <c r="E126" s="140">
        <f>IF(A126="",0,VLOOKUP(A126,'Database Lab+Equip'!$A:$D,3,FALSE))</f>
        <v>0</v>
      </c>
      <c r="F126" s="140">
        <f>IF(A126="",0,VLOOKUP(A126,'Database Lab+Equip'!$A:$D,4,FALSE))</f>
        <v>0</v>
      </c>
      <c r="G126" s="140">
        <f>IF(A126="",0,C126*D126*E126*E$121)</f>
        <v>0</v>
      </c>
      <c r="H126" s="140">
        <f>IF(A126="",0,C126*D126*F126*E$121)</f>
        <v>0</v>
      </c>
      <c r="I126" s="140">
        <f>(H126*$M$121)+H126</f>
        <v>0</v>
      </c>
      <c r="J126" s="154"/>
      <c r="K126" s="26"/>
      <c r="M126" s="122"/>
    </row>
    <row r="127" spans="1:13" s="132" customFormat="1" ht="12" customHeight="1" x14ac:dyDescent="0.3">
      <c r="A127" s="137"/>
      <c r="B127" s="71" t="str">
        <f>IF(A127="","",VLOOKUP(A127,'Database Lab+Equip'!$A:$D,2,FALSE))</f>
        <v/>
      </c>
      <c r="C127" s="142"/>
      <c r="D127" s="269"/>
      <c r="E127" s="140">
        <f>IF(A127="",0,VLOOKUP(A127,'Database Lab+Equip'!$A:$D,3,FALSE))</f>
        <v>0</v>
      </c>
      <c r="F127" s="140">
        <f>IF(A127="",0,VLOOKUP(A127,'Database Lab+Equip'!$A:$D,4,FALSE))</f>
        <v>0</v>
      </c>
      <c r="G127" s="140">
        <f>IF(A127="",0,C127*D127*E127*E$121)</f>
        <v>0</v>
      </c>
      <c r="H127" s="140">
        <f>IF(A127="",0,C127*D127*F127*E$121)</f>
        <v>0</v>
      </c>
      <c r="I127" s="140">
        <f>(H127*$M$121)+H127</f>
        <v>0</v>
      </c>
      <c r="J127" s="154"/>
      <c r="K127" s="26"/>
      <c r="M127" s="122"/>
    </row>
    <row r="128" spans="1:13" s="132" customFormat="1" ht="12" customHeight="1" x14ac:dyDescent="0.3">
      <c r="A128" s="137"/>
      <c r="B128" s="71" t="str">
        <f>IF(A128="","",VLOOKUP(A128,'Database Lab+Equip'!$A:$D,2,FALSE))</f>
        <v/>
      </c>
      <c r="C128" s="142"/>
      <c r="D128" s="269"/>
      <c r="E128" s="140">
        <f>IF(A128="",0,VLOOKUP(A128,'Database Lab+Equip'!$A:$D,3,FALSE))</f>
        <v>0</v>
      </c>
      <c r="F128" s="140">
        <f>IF(A128="",0,VLOOKUP(A128,'Database Lab+Equip'!$A:$D,4,FALSE))</f>
        <v>0</v>
      </c>
      <c r="G128" s="140">
        <f>IF(A128="",0,C128*D128*E128*E$121)</f>
        <v>0</v>
      </c>
      <c r="H128" s="140">
        <f>IF(A128="",0,C128*D128*F128*E$121)</f>
        <v>0</v>
      </c>
      <c r="I128" s="140">
        <f>(H128*$M$121)+H128</f>
        <v>0</v>
      </c>
      <c r="J128" s="154"/>
      <c r="K128" s="26"/>
      <c r="M128" s="122"/>
    </row>
    <row r="129" spans="1:13" s="132" customFormat="1" ht="12" customHeight="1" x14ac:dyDescent="0.3">
      <c r="A129" s="137"/>
      <c r="B129" s="71" t="str">
        <f>IF(A129="","",VLOOKUP(A129,'Database Lab+Equip'!$A:$D,2,FALSE))</f>
        <v/>
      </c>
      <c r="C129" s="142"/>
      <c r="D129" s="269"/>
      <c r="E129" s="140">
        <f>IF(A129="",0,VLOOKUP(A129,'Database Lab+Equip'!$A:$D,3,FALSE))</f>
        <v>0</v>
      </c>
      <c r="F129" s="140">
        <f>IF(A129="",0,VLOOKUP(A129,'Database Lab+Equip'!$A:$D,4,FALSE))</f>
        <v>0</v>
      </c>
      <c r="G129" s="140">
        <f>IF(A129="",0,C129*D129*E129*E$121)</f>
        <v>0</v>
      </c>
      <c r="H129" s="140">
        <f>IF(A129="",0,C129*D129*F129*E$121)</f>
        <v>0</v>
      </c>
      <c r="I129" s="140">
        <f>(H129*$M$121)+H129</f>
        <v>0</v>
      </c>
      <c r="J129" s="152" t="s">
        <v>108</v>
      </c>
      <c r="K129" s="153" t="s">
        <v>109</v>
      </c>
      <c r="L129" s="31"/>
      <c r="M129" s="123">
        <f>SUM(I125:I129)-SUM(G125:G129)</f>
        <v>0</v>
      </c>
    </row>
    <row r="130" spans="1:13" s="132" customFormat="1" ht="12" customHeight="1" x14ac:dyDescent="0.3">
      <c r="A130" s="35"/>
      <c r="C130" s="140"/>
      <c r="D130" s="270"/>
      <c r="E130" s="140"/>
      <c r="F130" s="140"/>
      <c r="G130" s="21">
        <f>SUM(G125:G129)</f>
        <v>0</v>
      </c>
      <c r="H130" s="21">
        <f>SUM(H125:H129)</f>
        <v>0</v>
      </c>
      <c r="I130" s="21">
        <f>SUM(I125:I129)</f>
        <v>0</v>
      </c>
      <c r="J130" s="21">
        <f>G130</f>
        <v>0</v>
      </c>
      <c r="K130" s="34">
        <f>I130</f>
        <v>0</v>
      </c>
      <c r="L130" s="154">
        <f>IF(J130=0,0,(K130-J130)/J130)</f>
        <v>0</v>
      </c>
      <c r="M130" s="122"/>
    </row>
    <row r="131" spans="1:13" s="132" customFormat="1" ht="12" customHeight="1" x14ac:dyDescent="0.3">
      <c r="A131" s="35"/>
      <c r="B131" s="71"/>
      <c r="C131" s="122"/>
      <c r="D131" s="265"/>
      <c r="E131" s="122"/>
      <c r="F131" s="122"/>
      <c r="G131" s="122"/>
      <c r="H131" s="122"/>
      <c r="I131" s="144"/>
      <c r="J131" s="84"/>
      <c r="K131" s="29"/>
      <c r="L131" s="122"/>
      <c r="M131" s="122"/>
    </row>
    <row r="132" spans="1:13" s="132" customFormat="1" ht="41.4" x14ac:dyDescent="0.3">
      <c r="A132" s="246" t="s">
        <v>96</v>
      </c>
      <c r="B132" s="246" t="s">
        <v>80</v>
      </c>
      <c r="C132" s="48" t="s">
        <v>47</v>
      </c>
      <c r="D132" s="135" t="s">
        <v>110</v>
      </c>
      <c r="E132" s="48" t="s">
        <v>98</v>
      </c>
      <c r="F132" s="48" t="s">
        <v>99</v>
      </c>
      <c r="G132" s="48" t="s">
        <v>22</v>
      </c>
      <c r="H132" s="48" t="s">
        <v>23</v>
      </c>
      <c r="I132" s="135" t="s">
        <v>100</v>
      </c>
      <c r="J132" s="145"/>
      <c r="K132" s="48"/>
      <c r="L132" s="124"/>
      <c r="M132" s="124"/>
    </row>
    <row r="133" spans="1:13" s="132" customFormat="1" ht="12" customHeight="1" x14ac:dyDescent="0.3">
      <c r="A133" s="148"/>
      <c r="B133" s="71" t="str">
        <f>IF(A133="","",VLOOKUP(A133,'Database Lab+Equip'!$F:$I,2,FALSE))</f>
        <v/>
      </c>
      <c r="C133" s="139"/>
      <c r="D133" s="271"/>
      <c r="E133" s="140">
        <f>IF(A133="",0,VLOOKUP(A133,'Database Lab+Equip'!$F:$I,3,FALSE))</f>
        <v>0</v>
      </c>
      <c r="F133" s="140">
        <f>IF(A133="",0,VLOOKUP(A133,'Database Lab+Equip'!$F:$I,4,FALSE))</f>
        <v>0</v>
      </c>
      <c r="G133" s="140">
        <f>IF(A133="",0,C133*D133*E133*E$121)</f>
        <v>0</v>
      </c>
      <c r="H133" s="140">
        <f>IF(A133="",0,C133*D133*F133*E$121)</f>
        <v>0</v>
      </c>
      <c r="I133" s="140">
        <f>(H133*$M$122)+H133</f>
        <v>0</v>
      </c>
      <c r="J133" s="84"/>
      <c r="K133" s="29"/>
      <c r="L133" s="122"/>
      <c r="M133" s="84"/>
    </row>
    <row r="134" spans="1:13" s="132" customFormat="1" ht="12" customHeight="1" x14ac:dyDescent="0.3">
      <c r="A134" s="148"/>
      <c r="B134" s="71" t="str">
        <f>IF(A134="","",VLOOKUP(A134,'Database Lab+Equip'!$F:$I,2,FALSE))</f>
        <v/>
      </c>
      <c r="C134" s="142"/>
      <c r="D134" s="272"/>
      <c r="E134" s="140">
        <f>IF(A134="",0,VLOOKUP(A134,'Database Lab+Equip'!$F:$I,3,FALSE))</f>
        <v>0</v>
      </c>
      <c r="F134" s="140">
        <f>IF(A134="",0,VLOOKUP(A134,'Database Lab+Equip'!$F:$I,4,FALSE))</f>
        <v>0</v>
      </c>
      <c r="G134" s="140">
        <f t="shared" ref="G134:G139" si="9">IF(A134="",0,C134*D134*E134*E$121)</f>
        <v>0</v>
      </c>
      <c r="H134" s="140">
        <f t="shared" ref="H134:H139" si="10">IF(A134="",0,C134*D134*F134*E$121)</f>
        <v>0</v>
      </c>
      <c r="I134" s="140">
        <f t="shared" ref="I134:I140" si="11">(H134*$M$122)+H134</f>
        <v>0</v>
      </c>
      <c r="J134" s="122"/>
      <c r="K134" s="29"/>
      <c r="L134" s="122"/>
      <c r="M134" s="122"/>
    </row>
    <row r="135" spans="1:13" s="132" customFormat="1" ht="12" customHeight="1" x14ac:dyDescent="0.3">
      <c r="A135" s="148"/>
      <c r="B135" s="71" t="str">
        <f>IF(A135="","",VLOOKUP(A135,'Database Lab+Equip'!$F:$I,2,FALSE))</f>
        <v/>
      </c>
      <c r="C135" s="142"/>
      <c r="D135" s="272"/>
      <c r="E135" s="140">
        <f>IF(A135="",0,VLOOKUP(A135,'Database Lab+Equip'!$F:$I,3,FALSE))</f>
        <v>0</v>
      </c>
      <c r="F135" s="140">
        <f>IF(A135="",0,VLOOKUP(A135,'Database Lab+Equip'!$F:$I,4,FALSE))</f>
        <v>0</v>
      </c>
      <c r="G135" s="140">
        <f t="shared" si="9"/>
        <v>0</v>
      </c>
      <c r="H135" s="140">
        <f t="shared" si="10"/>
        <v>0</v>
      </c>
      <c r="I135" s="140">
        <f t="shared" si="11"/>
        <v>0</v>
      </c>
      <c r="J135" s="84"/>
      <c r="K135" s="29"/>
      <c r="L135" s="122"/>
      <c r="M135" s="122"/>
    </row>
    <row r="136" spans="1:13" s="132" customFormat="1" ht="12" customHeight="1" x14ac:dyDescent="0.3">
      <c r="A136" s="148"/>
      <c r="B136" s="71" t="str">
        <f>IF(A136="","",VLOOKUP(A136,'Database Lab+Equip'!$F:$I,2,FALSE))</f>
        <v/>
      </c>
      <c r="C136" s="142"/>
      <c r="D136" s="272"/>
      <c r="E136" s="140">
        <f>IF(A136="",0,VLOOKUP(A136,'Database Lab+Equip'!$F:$I,3,FALSE))</f>
        <v>0</v>
      </c>
      <c r="F136" s="140">
        <f>IF(A136="",0,VLOOKUP(A136,'Database Lab+Equip'!$F:$I,4,FALSE))</f>
        <v>0</v>
      </c>
      <c r="G136" s="140">
        <f t="shared" si="9"/>
        <v>0</v>
      </c>
      <c r="H136" s="140">
        <f t="shared" si="10"/>
        <v>0</v>
      </c>
      <c r="I136" s="140">
        <f t="shared" si="11"/>
        <v>0</v>
      </c>
      <c r="J136" s="84"/>
      <c r="K136" s="29"/>
      <c r="L136" s="122"/>
      <c r="M136" s="122"/>
    </row>
    <row r="137" spans="1:13" s="132" customFormat="1" ht="12" customHeight="1" x14ac:dyDescent="0.3">
      <c r="A137" s="148"/>
      <c r="B137" s="71" t="str">
        <f>IF(A137="","",VLOOKUP(A137,'Database Lab+Equip'!$F:$I,2,FALSE))</f>
        <v/>
      </c>
      <c r="C137" s="142"/>
      <c r="D137" s="272"/>
      <c r="E137" s="140">
        <f>IF(A137="",0,VLOOKUP(A137,'Database Lab+Equip'!$F:$I,3,FALSE))</f>
        <v>0</v>
      </c>
      <c r="F137" s="140">
        <f>IF(A137="",0,VLOOKUP(A137,'Database Lab+Equip'!$F:$I,4,FALSE))</f>
        <v>0</v>
      </c>
      <c r="G137" s="140">
        <f t="shared" si="9"/>
        <v>0</v>
      </c>
      <c r="H137" s="140">
        <f t="shared" si="10"/>
        <v>0</v>
      </c>
      <c r="I137" s="140">
        <f t="shared" si="11"/>
        <v>0</v>
      </c>
      <c r="J137" s="84"/>
      <c r="K137" s="29"/>
      <c r="L137" s="122"/>
      <c r="M137" s="122"/>
    </row>
    <row r="138" spans="1:13" s="132" customFormat="1" ht="12" customHeight="1" x14ac:dyDescent="0.3">
      <c r="A138" s="148"/>
      <c r="B138" s="71" t="str">
        <f>IF(A138="","",VLOOKUP(A138,'Database Lab+Equip'!$F:$I,2,FALSE))</f>
        <v/>
      </c>
      <c r="C138" s="142"/>
      <c r="D138" s="272"/>
      <c r="E138" s="140">
        <f>IF(A138="",0,VLOOKUP(A138,'Database Lab+Equip'!$F:$I,3,FALSE))</f>
        <v>0</v>
      </c>
      <c r="F138" s="140">
        <f>IF(A138="",0,VLOOKUP(A138,'Database Lab+Equip'!$F:$I,4,FALSE))</f>
        <v>0</v>
      </c>
      <c r="G138" s="140">
        <f t="shared" si="9"/>
        <v>0</v>
      </c>
      <c r="H138" s="140">
        <f t="shared" si="10"/>
        <v>0</v>
      </c>
      <c r="I138" s="140">
        <f t="shared" si="11"/>
        <v>0</v>
      </c>
      <c r="J138" s="84"/>
      <c r="K138" s="29"/>
      <c r="L138" s="122"/>
      <c r="M138" s="122"/>
    </row>
    <row r="139" spans="1:13" s="132" customFormat="1" ht="12" customHeight="1" x14ac:dyDescent="0.3">
      <c r="A139" s="148"/>
      <c r="B139" s="71" t="str">
        <f>IF(A139="","",VLOOKUP(A139,'Database Lab+Equip'!$F:$I,2,FALSE))</f>
        <v/>
      </c>
      <c r="C139" s="142"/>
      <c r="D139" s="272"/>
      <c r="E139" s="140">
        <f>IF(A139="",0,VLOOKUP(A139,'Database Lab+Equip'!$F:$I,3,FALSE))</f>
        <v>0</v>
      </c>
      <c r="F139" s="140">
        <f>IF(A139="",0,VLOOKUP(A139,'Database Lab+Equip'!$F:$I,4,FALSE))</f>
        <v>0</v>
      </c>
      <c r="G139" s="140">
        <f t="shared" si="9"/>
        <v>0</v>
      </c>
      <c r="H139" s="140">
        <f t="shared" si="10"/>
        <v>0</v>
      </c>
      <c r="I139" s="140">
        <f t="shared" si="11"/>
        <v>0</v>
      </c>
      <c r="J139" s="84"/>
      <c r="K139" s="29"/>
      <c r="L139" s="122"/>
      <c r="M139" s="122"/>
    </row>
    <row r="140" spans="1:13" s="132" customFormat="1" ht="12" customHeight="1" x14ac:dyDescent="0.3">
      <c r="A140" s="148"/>
      <c r="B140" s="71" t="str">
        <f>IF(A140="","",VLOOKUP(A140,'Database Lab+Equip'!$F:$I,2,FALSE))</f>
        <v/>
      </c>
      <c r="C140" s="150"/>
      <c r="D140" s="273"/>
      <c r="E140" s="140">
        <f>IF(A140="",0,VLOOKUP(A140,'Database Lab+Equip'!$F:$I,3,FALSE))</f>
        <v>0</v>
      </c>
      <c r="F140" s="140">
        <f>IF(A140="",0,VLOOKUP(A140,'Database Lab+Equip'!$F:$I,4,FALSE))</f>
        <v>0</v>
      </c>
      <c r="G140" s="140">
        <f>IF(A140="",0,C140*D140*E140*E$121)</f>
        <v>0</v>
      </c>
      <c r="H140" s="140">
        <f>IF(A140="",0,C140*D140*F140*E$121)</f>
        <v>0</v>
      </c>
      <c r="I140" s="140">
        <f t="shared" si="11"/>
        <v>0</v>
      </c>
      <c r="J140" s="152" t="s">
        <v>108</v>
      </c>
      <c r="K140" s="153" t="s">
        <v>109</v>
      </c>
      <c r="L140" s="31"/>
      <c r="M140" s="125">
        <f>SUM(I133:I140)-SUM(G133:G140)</f>
        <v>0</v>
      </c>
    </row>
    <row r="141" spans="1:13" s="132" customFormat="1" ht="12" customHeight="1" x14ac:dyDescent="0.3">
      <c r="A141" s="72"/>
      <c r="B141" s="143"/>
      <c r="C141" s="130"/>
      <c r="D141" s="265"/>
      <c r="E141" s="122"/>
      <c r="F141" s="122"/>
      <c r="G141" s="21">
        <f>SUM(G133:G140)</f>
        <v>0</v>
      </c>
      <c r="H141" s="21">
        <f>SUM(H133:H140)</f>
        <v>0</v>
      </c>
      <c r="I141" s="21">
        <f>SUM(I133:I140)</f>
        <v>0</v>
      </c>
      <c r="J141" s="21">
        <f>G141</f>
        <v>0</v>
      </c>
      <c r="K141" s="34">
        <f>I141</f>
        <v>0</v>
      </c>
      <c r="L141" s="154">
        <f>IF(J141=0,0,(K141-J141)/J141)</f>
        <v>0</v>
      </c>
      <c r="M141" s="187">
        <f>M129+M140</f>
        <v>0</v>
      </c>
    </row>
    <row r="142" spans="1:13" s="31" customFormat="1" ht="13.8" x14ac:dyDescent="0.3">
      <c r="A142" s="110"/>
      <c r="B142" s="115"/>
      <c r="C142" s="116"/>
      <c r="D142" s="274"/>
      <c r="E142" s="117"/>
      <c r="F142" s="117"/>
      <c r="G142" s="118"/>
      <c r="H142" s="110"/>
      <c r="I142" s="161"/>
      <c r="J142" s="162">
        <f>J130+J141</f>
        <v>0</v>
      </c>
      <c r="K142" s="162">
        <f>K130+K141</f>
        <v>0</v>
      </c>
      <c r="L142" s="119">
        <f>IF(J142=0,0,(K142-J142)/K142)</f>
        <v>0</v>
      </c>
      <c r="M142" s="173"/>
    </row>
    <row r="143" spans="1:13" s="31" customFormat="1" ht="13.8" x14ac:dyDescent="0.3">
      <c r="A143" s="112"/>
      <c r="B143" s="223"/>
      <c r="C143" s="214"/>
      <c r="D143" s="275"/>
      <c r="E143" s="215"/>
      <c r="F143" s="215"/>
      <c r="G143" s="216"/>
      <c r="H143" s="112"/>
      <c r="I143" s="217"/>
      <c r="J143" s="218"/>
      <c r="K143" s="218"/>
      <c r="L143" s="212"/>
      <c r="M143" s="213"/>
    </row>
    <row r="144" spans="1:13" ht="15.6" x14ac:dyDescent="0.3">
      <c r="B144" s="241" t="s">
        <v>170</v>
      </c>
      <c r="C144" s="129"/>
      <c r="D144" s="129"/>
      <c r="E144" s="129"/>
      <c r="F144" s="129"/>
      <c r="H144" s="132"/>
      <c r="I144" s="132"/>
      <c r="L144" s="221" t="s">
        <v>85</v>
      </c>
      <c r="M144" s="222"/>
    </row>
    <row r="145" spans="1:13" s="132" customFormat="1" ht="12" customHeight="1" x14ac:dyDescent="0.3">
      <c r="A145" s="72"/>
      <c r="B145" s="24" t="s">
        <v>135</v>
      </c>
      <c r="C145" s="22"/>
      <c r="D145" s="266" t="s">
        <v>87</v>
      </c>
      <c r="E145" s="23"/>
      <c r="F145" s="133"/>
      <c r="H145" s="14"/>
      <c r="I145" s="14"/>
      <c r="J145" s="14"/>
      <c r="K145" s="14"/>
      <c r="L145" s="219" t="s">
        <v>88</v>
      </c>
      <c r="M145" s="220"/>
    </row>
    <row r="146" spans="1:13" s="132" customFormat="1" ht="12" customHeight="1" x14ac:dyDescent="0.3">
      <c r="A146" s="72"/>
      <c r="B146" s="24" t="s">
        <v>141</v>
      </c>
      <c r="C146" s="25"/>
      <c r="D146" s="266" t="s">
        <v>89</v>
      </c>
      <c r="E146" s="23"/>
      <c r="K146" s="14"/>
      <c r="L146" s="126" t="s">
        <v>90</v>
      </c>
      <c r="M146" s="127"/>
    </row>
    <row r="147" spans="1:13" s="132" customFormat="1" ht="12" customHeight="1" x14ac:dyDescent="0.3">
      <c r="A147" s="72"/>
      <c r="B147" s="24" t="s">
        <v>142</v>
      </c>
      <c r="C147" s="27" t="str">
        <f>IF(C145="","",IF(E147="","",C145/E147+C146))</f>
        <v/>
      </c>
      <c r="D147" s="266" t="s">
        <v>91</v>
      </c>
      <c r="E147" s="23"/>
      <c r="I147" s="26"/>
      <c r="J147" s="26"/>
      <c r="K147" s="14"/>
      <c r="L147" s="126" t="s">
        <v>92</v>
      </c>
      <c r="M147" s="127"/>
    </row>
    <row r="148" spans="1:13" s="132" customFormat="1" ht="12" customHeight="1" x14ac:dyDescent="0.3">
      <c r="A148" s="72"/>
      <c r="B148" s="59" t="s">
        <v>143</v>
      </c>
      <c r="C148" s="260"/>
      <c r="D148" s="266" t="s">
        <v>25</v>
      </c>
      <c r="E148" s="128">
        <f>SUM(C153:C157)</f>
        <v>0</v>
      </c>
      <c r="I148" s="26"/>
      <c r="J148" s="26"/>
      <c r="K148" s="14"/>
      <c r="L148" s="93" t="s">
        <v>94</v>
      </c>
      <c r="M148" s="94"/>
    </row>
    <row r="149" spans="1:13" s="132" customFormat="1" ht="12" customHeight="1" x14ac:dyDescent="0.3">
      <c r="A149" s="72"/>
      <c r="B149" s="59" t="s">
        <v>144</v>
      </c>
      <c r="C149" s="25"/>
      <c r="D149" s="266" t="s">
        <v>44</v>
      </c>
      <c r="E149" s="244">
        <f>IF(E148=0,0,(C147/C148)/C149)</f>
        <v>0</v>
      </c>
      <c r="I149" s="26"/>
      <c r="J149" s="26"/>
      <c r="K149" s="14"/>
      <c r="L149" s="57" t="s">
        <v>70</v>
      </c>
      <c r="M149" s="58">
        <f>M9</f>
        <v>0.05</v>
      </c>
    </row>
    <row r="150" spans="1:13" s="132" customFormat="1" ht="12" customHeight="1" x14ac:dyDescent="0.3">
      <c r="A150" s="72"/>
      <c r="B150" s="28"/>
      <c r="C150" s="122"/>
      <c r="D150" s="267"/>
      <c r="E150" s="211"/>
      <c r="I150" s="26"/>
      <c r="J150" s="26"/>
      <c r="K150" s="14"/>
      <c r="L150" s="57" t="s">
        <v>80</v>
      </c>
      <c r="M150" s="58">
        <f>M10</f>
        <v>0.05</v>
      </c>
    </row>
    <row r="151" spans="1:13" s="132" customFormat="1" ht="12" customHeight="1" x14ac:dyDescent="0.3">
      <c r="A151" s="72"/>
      <c r="B151" s="28"/>
      <c r="C151" s="28"/>
      <c r="D151" s="43"/>
      <c r="H151" s="29"/>
      <c r="I151" s="29"/>
      <c r="J151" s="29"/>
      <c r="K151" s="29"/>
      <c r="M151" s="71"/>
    </row>
    <row r="152" spans="1:13" s="132" customFormat="1" ht="27.6" x14ac:dyDescent="0.3">
      <c r="A152" s="246" t="s">
        <v>145</v>
      </c>
      <c r="B152" s="246" t="s">
        <v>70</v>
      </c>
      <c r="C152" s="48" t="s">
        <v>47</v>
      </c>
      <c r="D152" s="135" t="s">
        <v>97</v>
      </c>
      <c r="E152" s="48" t="s">
        <v>98</v>
      </c>
      <c r="F152" s="48" t="s">
        <v>99</v>
      </c>
      <c r="G152" s="48" t="s">
        <v>22</v>
      </c>
      <c r="H152" s="48" t="s">
        <v>23</v>
      </c>
      <c r="I152" s="135" t="s">
        <v>100</v>
      </c>
      <c r="J152" s="136"/>
      <c r="K152" s="52"/>
      <c r="L152" s="48" t="s">
        <v>101</v>
      </c>
      <c r="M152" s="48" t="s">
        <v>0</v>
      </c>
    </row>
    <row r="153" spans="1:13" s="132" customFormat="1" ht="12" customHeight="1" x14ac:dyDescent="0.3">
      <c r="A153" s="137"/>
      <c r="B153" s="71" t="str">
        <f>IF(A153="","",VLOOKUP(A153,'Database Lab+Equip'!$A:$D,2,FALSE))</f>
        <v/>
      </c>
      <c r="C153" s="139"/>
      <c r="D153" s="268"/>
      <c r="E153" s="140">
        <f>IF(A153="",0,VLOOKUP(A153,'Database Lab+Equip'!$A:$D,3,FALSE))</f>
        <v>0</v>
      </c>
      <c r="F153" s="140">
        <f>IF(A153="",0,VLOOKUP(A153,'Database Lab+Equip'!$A:$D,4,FALSE))</f>
        <v>0</v>
      </c>
      <c r="G153" s="140">
        <f>IF(A153="",0,C153*D153*E153*E$149)</f>
        <v>0</v>
      </c>
      <c r="H153" s="140">
        <f>IF(A153="",0,C153*D153*F153*E$149)</f>
        <v>0</v>
      </c>
      <c r="I153" s="140">
        <f>(H153*$M$149)+H153</f>
        <v>0</v>
      </c>
      <c r="J153" s="154"/>
      <c r="K153" s="26"/>
      <c r="M153" s="84"/>
    </row>
    <row r="154" spans="1:13" s="132" customFormat="1" ht="12" customHeight="1" x14ac:dyDescent="0.3">
      <c r="A154" s="137"/>
      <c r="B154" s="71" t="str">
        <f>IF(A154="","",VLOOKUP(A154,'Database Lab+Equip'!$A:$D,2,FALSE))</f>
        <v/>
      </c>
      <c r="C154" s="142"/>
      <c r="D154" s="269"/>
      <c r="E154" s="140">
        <f>IF(A154="",0,VLOOKUP(A154,'Database Lab+Equip'!$A:$D,3,FALSE))</f>
        <v>0</v>
      </c>
      <c r="F154" s="140">
        <f>IF(A154="",0,VLOOKUP(A154,'Database Lab+Equip'!$A:$D,4,FALSE))</f>
        <v>0</v>
      </c>
      <c r="G154" s="140">
        <f>IF(A154="",0,C154*D154*E154*E$149)</f>
        <v>0</v>
      </c>
      <c r="H154" s="140">
        <f>IF(A154="",0,C154*D154*F154*E$149)</f>
        <v>0</v>
      </c>
      <c r="I154" s="140">
        <f>(H154*$M$149)+H154</f>
        <v>0</v>
      </c>
      <c r="J154" s="154"/>
      <c r="K154" s="26"/>
      <c r="M154" s="122"/>
    </row>
    <row r="155" spans="1:13" s="132" customFormat="1" ht="12" customHeight="1" x14ac:dyDescent="0.3">
      <c r="A155" s="137"/>
      <c r="B155" s="71" t="str">
        <f>IF(A155="","",VLOOKUP(A155,'Database Lab+Equip'!$A:$D,2,FALSE))</f>
        <v/>
      </c>
      <c r="C155" s="142"/>
      <c r="D155" s="269"/>
      <c r="E155" s="140">
        <f>IF(A155="",0,VLOOKUP(A155,'Database Lab+Equip'!$A:$D,3,FALSE))</f>
        <v>0</v>
      </c>
      <c r="F155" s="140">
        <f>IF(A155="",0,VLOOKUP(A155,'Database Lab+Equip'!$A:$D,4,FALSE))</f>
        <v>0</v>
      </c>
      <c r="G155" s="140">
        <f>IF(A155="",0,C155*D155*E155*E$149)</f>
        <v>0</v>
      </c>
      <c r="H155" s="140">
        <f>IF(A155="",0,C155*D155*F155*E$149)</f>
        <v>0</v>
      </c>
      <c r="I155" s="140">
        <f>(H155*$M$149)+H155</f>
        <v>0</v>
      </c>
      <c r="J155" s="154"/>
      <c r="K155" s="26"/>
      <c r="M155" s="122"/>
    </row>
    <row r="156" spans="1:13" s="132" customFormat="1" ht="12" customHeight="1" x14ac:dyDescent="0.3">
      <c r="A156" s="137"/>
      <c r="B156" s="71" t="str">
        <f>IF(A156="","",VLOOKUP(A156,'Database Lab+Equip'!$A:$D,2,FALSE))</f>
        <v/>
      </c>
      <c r="C156" s="142"/>
      <c r="D156" s="269"/>
      <c r="E156" s="140">
        <f>IF(A156="",0,VLOOKUP(A156,'Database Lab+Equip'!$A:$D,3,FALSE))</f>
        <v>0</v>
      </c>
      <c r="F156" s="140">
        <f>IF(A156="",0,VLOOKUP(A156,'Database Lab+Equip'!$A:$D,4,FALSE))</f>
        <v>0</v>
      </c>
      <c r="G156" s="140">
        <f>IF(A156="",0,C156*D156*E156*E$149)</f>
        <v>0</v>
      </c>
      <c r="H156" s="140">
        <f>IF(A156="",0,C156*D156*F156*E$149)</f>
        <v>0</v>
      </c>
      <c r="I156" s="140">
        <f>(H156*$M$149)+H156</f>
        <v>0</v>
      </c>
      <c r="J156" s="154"/>
      <c r="K156" s="26"/>
      <c r="M156" s="122"/>
    </row>
    <row r="157" spans="1:13" s="132" customFormat="1" ht="12" customHeight="1" x14ac:dyDescent="0.3">
      <c r="A157" s="137"/>
      <c r="B157" s="71" t="str">
        <f>IF(A157="","",VLOOKUP(A157,'Database Lab+Equip'!$A:$D,2,FALSE))</f>
        <v/>
      </c>
      <c r="C157" s="142"/>
      <c r="D157" s="269"/>
      <c r="E157" s="140">
        <f>IF(A157="",0,VLOOKUP(A157,'Database Lab+Equip'!$A:$D,3,FALSE))</f>
        <v>0</v>
      </c>
      <c r="F157" s="140">
        <f>IF(A157="",0,VLOOKUP(A157,'Database Lab+Equip'!$A:$D,4,FALSE))</f>
        <v>0</v>
      </c>
      <c r="G157" s="140">
        <f>IF(A157="",0,C157*D157*E157*E$149)</f>
        <v>0</v>
      </c>
      <c r="H157" s="140">
        <f>IF(A157="",0,C157*D157*F157*E$149)</f>
        <v>0</v>
      </c>
      <c r="I157" s="140">
        <f>(H157*$M$149)+H157</f>
        <v>0</v>
      </c>
      <c r="J157" s="152" t="s">
        <v>108</v>
      </c>
      <c r="K157" s="153" t="s">
        <v>109</v>
      </c>
      <c r="L157" s="31"/>
      <c r="M157" s="123">
        <f>SUM(I153:I157)-SUM(G153:G157)</f>
        <v>0</v>
      </c>
    </row>
    <row r="158" spans="1:13" s="132" customFormat="1" ht="12" customHeight="1" x14ac:dyDescent="0.3">
      <c r="A158" s="35"/>
      <c r="C158" s="140"/>
      <c r="D158" s="270"/>
      <c r="E158" s="140"/>
      <c r="F158" s="140"/>
      <c r="G158" s="21">
        <f>SUM(G153:G157)</f>
        <v>0</v>
      </c>
      <c r="H158" s="21">
        <f>SUM(H153:H157)</f>
        <v>0</v>
      </c>
      <c r="I158" s="21">
        <f>SUM(I153:I157)</f>
        <v>0</v>
      </c>
      <c r="J158" s="21">
        <f>G158</f>
        <v>0</v>
      </c>
      <c r="K158" s="34">
        <f>I158</f>
        <v>0</v>
      </c>
      <c r="L158" s="154">
        <f>IF(J158=0,0,(K158-J158)/J158)</f>
        <v>0</v>
      </c>
      <c r="M158" s="122"/>
    </row>
    <row r="159" spans="1:13" s="132" customFormat="1" ht="12" customHeight="1" x14ac:dyDescent="0.3">
      <c r="A159" s="35"/>
      <c r="B159" s="71"/>
      <c r="C159" s="122"/>
      <c r="D159" s="265"/>
      <c r="E159" s="122"/>
      <c r="F159" s="122"/>
      <c r="G159" s="122"/>
      <c r="H159" s="122"/>
      <c r="I159" s="144"/>
      <c r="J159" s="84"/>
      <c r="K159" s="29"/>
      <c r="L159" s="122"/>
      <c r="M159" s="122"/>
    </row>
    <row r="160" spans="1:13" s="132" customFormat="1" ht="41.4" x14ac:dyDescent="0.3">
      <c r="A160" s="246" t="s">
        <v>96</v>
      </c>
      <c r="B160" s="246" t="s">
        <v>80</v>
      </c>
      <c r="C160" s="48" t="s">
        <v>47</v>
      </c>
      <c r="D160" s="135" t="s">
        <v>110</v>
      </c>
      <c r="E160" s="48" t="s">
        <v>98</v>
      </c>
      <c r="F160" s="48" t="s">
        <v>99</v>
      </c>
      <c r="G160" s="48" t="s">
        <v>22</v>
      </c>
      <c r="H160" s="48" t="s">
        <v>23</v>
      </c>
      <c r="I160" s="135" t="s">
        <v>100</v>
      </c>
      <c r="J160" s="145"/>
      <c r="K160" s="48"/>
      <c r="L160" s="124"/>
      <c r="M160" s="124"/>
    </row>
    <row r="161" spans="1:13" s="132" customFormat="1" ht="12" customHeight="1" x14ac:dyDescent="0.3">
      <c r="A161" s="148"/>
      <c r="B161" s="71" t="str">
        <f>IF(A161="","",VLOOKUP(A161,'Database Lab+Equip'!$F:$I,2,FALSE))</f>
        <v/>
      </c>
      <c r="C161" s="139"/>
      <c r="D161" s="271"/>
      <c r="E161" s="140">
        <f>IF(A161="",0,VLOOKUP(A161,'Database Lab+Equip'!$F:$I,3,FALSE))</f>
        <v>0</v>
      </c>
      <c r="F161" s="140">
        <f>IF(A161="",0,VLOOKUP(A161,'Database Lab+Equip'!$F:$I,4,FALSE))</f>
        <v>0</v>
      </c>
      <c r="G161" s="140">
        <f>IF(A161="",0,C161*D161*E161*E$149)</f>
        <v>0</v>
      </c>
      <c r="H161" s="140">
        <f>IF(A161="",0,C161*D161*F161*E$149)</f>
        <v>0</v>
      </c>
      <c r="I161" s="140">
        <f>(H161*$M$150)+H161</f>
        <v>0</v>
      </c>
      <c r="J161" s="84"/>
      <c r="K161" s="29"/>
      <c r="L161" s="122"/>
      <c r="M161" s="84"/>
    </row>
    <row r="162" spans="1:13" s="132" customFormat="1" ht="12" customHeight="1" x14ac:dyDescent="0.3">
      <c r="A162" s="148"/>
      <c r="B162" s="71" t="str">
        <f>IF(A162="","",VLOOKUP(A162,'Database Lab+Equip'!$F:$I,2,FALSE))</f>
        <v/>
      </c>
      <c r="C162" s="142"/>
      <c r="D162" s="272"/>
      <c r="E162" s="140">
        <f>IF(A162="",0,VLOOKUP(A162,'Database Lab+Equip'!$F:$I,3,FALSE))</f>
        <v>0</v>
      </c>
      <c r="F162" s="140">
        <f>IF(A162="",0,VLOOKUP(A162,'Database Lab+Equip'!$F:$I,4,FALSE))</f>
        <v>0</v>
      </c>
      <c r="G162" s="140">
        <f t="shared" ref="G162:G168" si="12">IF(A162="",0,C162*D162*E162*E$149)</f>
        <v>0</v>
      </c>
      <c r="H162" s="140">
        <f t="shared" ref="H162:H168" si="13">IF(A162="",0,C162*D162*F162*E$149)</f>
        <v>0</v>
      </c>
      <c r="I162" s="140">
        <f t="shared" ref="I162:I168" si="14">(H162*$M$150)+H162</f>
        <v>0</v>
      </c>
      <c r="J162" s="122"/>
      <c r="K162" s="29"/>
      <c r="L162" s="122"/>
      <c r="M162" s="122"/>
    </row>
    <row r="163" spans="1:13" s="132" customFormat="1" ht="12" customHeight="1" x14ac:dyDescent="0.3">
      <c r="A163" s="148"/>
      <c r="B163" s="71" t="str">
        <f>IF(A163="","",VLOOKUP(A163,'Database Lab+Equip'!$F:$I,2,FALSE))</f>
        <v/>
      </c>
      <c r="C163" s="142"/>
      <c r="D163" s="272"/>
      <c r="E163" s="140">
        <f>IF(A163="",0,VLOOKUP(A163,'Database Lab+Equip'!$F:$I,3,FALSE))</f>
        <v>0</v>
      </c>
      <c r="F163" s="140">
        <f>IF(A163="",0,VLOOKUP(A163,'Database Lab+Equip'!$F:$I,4,FALSE))</f>
        <v>0</v>
      </c>
      <c r="G163" s="140">
        <f t="shared" si="12"/>
        <v>0</v>
      </c>
      <c r="H163" s="140">
        <f t="shared" si="13"/>
        <v>0</v>
      </c>
      <c r="I163" s="140">
        <f t="shared" si="14"/>
        <v>0</v>
      </c>
      <c r="J163" s="84"/>
      <c r="K163" s="29"/>
      <c r="L163" s="122"/>
      <c r="M163" s="122"/>
    </row>
    <row r="164" spans="1:13" s="132" customFormat="1" ht="12" customHeight="1" x14ac:dyDescent="0.3">
      <c r="A164" s="148"/>
      <c r="B164" s="71" t="str">
        <f>IF(A164="","",VLOOKUP(A164,'Database Lab+Equip'!$F:$I,2,FALSE))</f>
        <v/>
      </c>
      <c r="C164" s="142"/>
      <c r="D164" s="272"/>
      <c r="E164" s="140">
        <f>IF(A164="",0,VLOOKUP(A164,'Database Lab+Equip'!$F:$I,3,FALSE))</f>
        <v>0</v>
      </c>
      <c r="F164" s="140">
        <f>IF(A164="",0,VLOOKUP(A164,'Database Lab+Equip'!$F:$I,4,FALSE))</f>
        <v>0</v>
      </c>
      <c r="G164" s="140">
        <f t="shared" si="12"/>
        <v>0</v>
      </c>
      <c r="H164" s="140">
        <f t="shared" si="13"/>
        <v>0</v>
      </c>
      <c r="I164" s="140">
        <f t="shared" si="14"/>
        <v>0</v>
      </c>
      <c r="J164" s="84"/>
      <c r="K164" s="29"/>
      <c r="L164" s="122"/>
      <c r="M164" s="122"/>
    </row>
    <row r="165" spans="1:13" s="132" customFormat="1" ht="12" customHeight="1" x14ac:dyDescent="0.3">
      <c r="A165" s="148"/>
      <c r="B165" s="71" t="str">
        <f>IF(A165="","",VLOOKUP(A165,'Database Lab+Equip'!$F:$I,2,FALSE))</f>
        <v/>
      </c>
      <c r="C165" s="142"/>
      <c r="D165" s="272"/>
      <c r="E165" s="140">
        <f>IF(A165="",0,VLOOKUP(A165,'Database Lab+Equip'!$F:$I,3,FALSE))</f>
        <v>0</v>
      </c>
      <c r="F165" s="140">
        <f>IF(A165="",0,VLOOKUP(A165,'Database Lab+Equip'!$F:$I,4,FALSE))</f>
        <v>0</v>
      </c>
      <c r="G165" s="140">
        <f t="shared" si="12"/>
        <v>0</v>
      </c>
      <c r="H165" s="140">
        <f t="shared" si="13"/>
        <v>0</v>
      </c>
      <c r="I165" s="140">
        <f t="shared" si="14"/>
        <v>0</v>
      </c>
      <c r="J165" s="84"/>
      <c r="K165" s="29"/>
      <c r="L165" s="122"/>
      <c r="M165" s="122"/>
    </row>
    <row r="166" spans="1:13" s="132" customFormat="1" ht="12" customHeight="1" x14ac:dyDescent="0.3">
      <c r="A166" s="148"/>
      <c r="B166" s="71" t="str">
        <f>IF(A166="","",VLOOKUP(A166,'Database Lab+Equip'!$F:$I,2,FALSE))</f>
        <v/>
      </c>
      <c r="C166" s="142"/>
      <c r="D166" s="272"/>
      <c r="E166" s="140">
        <f>IF(A166="",0,VLOOKUP(A166,'Database Lab+Equip'!$F:$I,3,FALSE))</f>
        <v>0</v>
      </c>
      <c r="F166" s="140">
        <f>IF(A166="",0,VLOOKUP(A166,'Database Lab+Equip'!$F:$I,4,FALSE))</f>
        <v>0</v>
      </c>
      <c r="G166" s="140">
        <f t="shared" si="12"/>
        <v>0</v>
      </c>
      <c r="H166" s="140">
        <f t="shared" si="13"/>
        <v>0</v>
      </c>
      <c r="I166" s="140">
        <f t="shared" si="14"/>
        <v>0</v>
      </c>
      <c r="J166" s="84"/>
      <c r="K166" s="29"/>
      <c r="L166" s="122"/>
      <c r="M166" s="122"/>
    </row>
    <row r="167" spans="1:13" s="132" customFormat="1" ht="12" customHeight="1" x14ac:dyDescent="0.3">
      <c r="A167" s="148"/>
      <c r="B167" s="71" t="str">
        <f>IF(A167="","",VLOOKUP(A167,'Database Lab+Equip'!$F:$I,2,FALSE))</f>
        <v/>
      </c>
      <c r="C167" s="142"/>
      <c r="D167" s="272"/>
      <c r="E167" s="140">
        <f>IF(A167="",0,VLOOKUP(A167,'Database Lab+Equip'!$F:$I,3,FALSE))</f>
        <v>0</v>
      </c>
      <c r="F167" s="140">
        <f>IF(A167="",0,VLOOKUP(A167,'Database Lab+Equip'!$F:$I,4,FALSE))</f>
        <v>0</v>
      </c>
      <c r="G167" s="140">
        <f t="shared" si="12"/>
        <v>0</v>
      </c>
      <c r="H167" s="140">
        <f t="shared" si="13"/>
        <v>0</v>
      </c>
      <c r="I167" s="140">
        <f t="shared" si="14"/>
        <v>0</v>
      </c>
      <c r="J167" s="84"/>
      <c r="K167" s="29"/>
      <c r="L167" s="122"/>
      <c r="M167" s="122"/>
    </row>
    <row r="168" spans="1:13" s="132" customFormat="1" ht="12" customHeight="1" x14ac:dyDescent="0.3">
      <c r="A168" s="148"/>
      <c r="B168" s="71" t="str">
        <f>IF(A168="","",VLOOKUP(A168,'Database Lab+Equip'!$F:$I,2,FALSE))</f>
        <v/>
      </c>
      <c r="C168" s="150"/>
      <c r="D168" s="273"/>
      <c r="E168" s="140">
        <f>IF(A168="",0,VLOOKUP(A168,'Database Lab+Equip'!$F:$I,3,FALSE))</f>
        <v>0</v>
      </c>
      <c r="F168" s="140">
        <f>IF(A168="",0,VLOOKUP(A168,'Database Lab+Equip'!$F:$I,4,FALSE))</f>
        <v>0</v>
      </c>
      <c r="G168" s="140">
        <f t="shared" si="12"/>
        <v>0</v>
      </c>
      <c r="H168" s="140">
        <f t="shared" si="13"/>
        <v>0</v>
      </c>
      <c r="I168" s="140">
        <f t="shared" si="14"/>
        <v>0</v>
      </c>
      <c r="J168" s="152" t="s">
        <v>108</v>
      </c>
      <c r="K168" s="153" t="s">
        <v>109</v>
      </c>
      <c r="L168" s="31"/>
      <c r="M168" s="125">
        <f>SUM(I161:I168)-SUM(G161:G168)</f>
        <v>0</v>
      </c>
    </row>
    <row r="169" spans="1:13" s="132" customFormat="1" ht="12" customHeight="1" x14ac:dyDescent="0.3">
      <c r="A169" s="72"/>
      <c r="B169" s="143"/>
      <c r="C169" s="130"/>
      <c r="D169" s="265"/>
      <c r="E169" s="122"/>
      <c r="F169" s="122"/>
      <c r="G169" s="21">
        <f>SUM(G161:G168)</f>
        <v>0</v>
      </c>
      <c r="H169" s="21">
        <f>SUM(H161:H168)</f>
        <v>0</v>
      </c>
      <c r="I169" s="21">
        <f>SUM(I161:I168)</f>
        <v>0</v>
      </c>
      <c r="J169" s="21">
        <f>G169</f>
        <v>0</v>
      </c>
      <c r="K169" s="34">
        <f>I169</f>
        <v>0</v>
      </c>
      <c r="L169" s="154">
        <f>IF(J169=0,0,(K169-J169)/J169)</f>
        <v>0</v>
      </c>
      <c r="M169" s="187">
        <f>M157+M168</f>
        <v>0</v>
      </c>
    </row>
    <row r="170" spans="1:13" s="31" customFormat="1" ht="13.8" x14ac:dyDescent="0.3">
      <c r="A170" s="110"/>
      <c r="B170" s="115"/>
      <c r="C170" s="116"/>
      <c r="D170" s="274"/>
      <c r="E170" s="117"/>
      <c r="F170" s="117"/>
      <c r="G170" s="118"/>
      <c r="H170" s="110"/>
      <c r="I170" s="161"/>
      <c r="J170" s="162">
        <f>J158+J169</f>
        <v>0</v>
      </c>
      <c r="K170" s="162">
        <f>K158+K169</f>
        <v>0</v>
      </c>
      <c r="L170" s="119">
        <f>IF(J170=0,0,(K170-J170)/K170)</f>
        <v>0</v>
      </c>
      <c r="M170" s="173"/>
    </row>
    <row r="171" spans="1:13" s="31" customFormat="1" ht="13.8" x14ac:dyDescent="0.3">
      <c r="A171" s="112"/>
      <c r="B171" s="223"/>
      <c r="C171" s="214"/>
      <c r="D171" s="275"/>
      <c r="E171" s="215"/>
      <c r="F171" s="215"/>
      <c r="G171" s="216"/>
      <c r="H171" s="112"/>
      <c r="I171" s="217"/>
      <c r="J171" s="218"/>
      <c r="K171" s="218"/>
      <c r="L171" s="212"/>
      <c r="M171" s="213"/>
    </row>
    <row r="172" spans="1:13" ht="15.6" x14ac:dyDescent="0.3">
      <c r="B172" s="241" t="s">
        <v>171</v>
      </c>
      <c r="C172" s="129"/>
      <c r="D172" s="129"/>
      <c r="E172" s="129"/>
      <c r="F172" s="129"/>
      <c r="H172" s="132"/>
      <c r="I172" s="132"/>
      <c r="L172" s="221" t="s">
        <v>85</v>
      </c>
      <c r="M172" s="222"/>
    </row>
    <row r="173" spans="1:13" s="132" customFormat="1" ht="12" customHeight="1" x14ac:dyDescent="0.3">
      <c r="A173" s="72"/>
      <c r="B173" s="24" t="s">
        <v>135</v>
      </c>
      <c r="C173" s="22"/>
      <c r="D173" s="266" t="s">
        <v>87</v>
      </c>
      <c r="E173" s="23"/>
      <c r="F173" s="133"/>
      <c r="H173" s="14"/>
      <c r="I173" s="14"/>
      <c r="J173" s="14"/>
      <c r="K173" s="14"/>
      <c r="L173" s="219" t="s">
        <v>88</v>
      </c>
      <c r="M173" s="220"/>
    </row>
    <row r="174" spans="1:13" s="132" customFormat="1" ht="12" customHeight="1" x14ac:dyDescent="0.3">
      <c r="A174" s="72"/>
      <c r="B174" s="24" t="s">
        <v>141</v>
      </c>
      <c r="C174" s="25"/>
      <c r="D174" s="266" t="s">
        <v>89</v>
      </c>
      <c r="E174" s="23"/>
      <c r="K174" s="14"/>
      <c r="L174" s="126" t="s">
        <v>90</v>
      </c>
      <c r="M174" s="127"/>
    </row>
    <row r="175" spans="1:13" s="132" customFormat="1" ht="12" customHeight="1" x14ac:dyDescent="0.3">
      <c r="A175" s="72"/>
      <c r="B175" s="24" t="s">
        <v>142</v>
      </c>
      <c r="C175" s="27" t="str">
        <f>IF(C173="","",IF(E175="","",C173/E175+C174))</f>
        <v/>
      </c>
      <c r="D175" s="266" t="s">
        <v>91</v>
      </c>
      <c r="E175" s="23"/>
      <c r="I175" s="26"/>
      <c r="J175" s="26"/>
      <c r="K175" s="14"/>
      <c r="L175" s="126" t="s">
        <v>92</v>
      </c>
      <c r="M175" s="127"/>
    </row>
    <row r="176" spans="1:13" s="132" customFormat="1" ht="12" customHeight="1" x14ac:dyDescent="0.3">
      <c r="A176" s="72"/>
      <c r="B176" s="59" t="s">
        <v>143</v>
      </c>
      <c r="C176" s="260"/>
      <c r="D176" s="266" t="s">
        <v>25</v>
      </c>
      <c r="E176" s="128">
        <f>SUM(C181:C185)</f>
        <v>0</v>
      </c>
      <c r="I176" s="26"/>
      <c r="J176" s="26"/>
      <c r="K176" s="14"/>
      <c r="L176" s="93" t="s">
        <v>94</v>
      </c>
      <c r="M176" s="94"/>
    </row>
    <row r="177" spans="1:13" s="132" customFormat="1" ht="12" customHeight="1" x14ac:dyDescent="0.3">
      <c r="A177" s="72"/>
      <c r="B177" s="59" t="s">
        <v>144</v>
      </c>
      <c r="C177" s="25"/>
      <c r="D177" s="266" t="s">
        <v>44</v>
      </c>
      <c r="E177" s="244">
        <f>IF(E176=0,0,(C175/C176)/C177)</f>
        <v>0</v>
      </c>
      <c r="I177" s="26"/>
      <c r="J177" s="26"/>
      <c r="K177" s="14"/>
      <c r="L177" s="57" t="s">
        <v>70</v>
      </c>
      <c r="M177" s="58">
        <f>M9</f>
        <v>0.05</v>
      </c>
    </row>
    <row r="178" spans="1:13" s="132" customFormat="1" ht="12" customHeight="1" x14ac:dyDescent="0.3">
      <c r="A178" s="72"/>
      <c r="B178" s="28"/>
      <c r="C178" s="122"/>
      <c r="D178" s="267"/>
      <c r="E178" s="211"/>
      <c r="I178" s="26"/>
      <c r="J178" s="26"/>
      <c r="K178" s="14"/>
      <c r="L178" s="57" t="s">
        <v>80</v>
      </c>
      <c r="M178" s="58">
        <f>M10</f>
        <v>0.05</v>
      </c>
    </row>
    <row r="179" spans="1:13" s="132" customFormat="1" ht="12" customHeight="1" x14ac:dyDescent="0.3">
      <c r="A179" s="72"/>
      <c r="B179" s="28"/>
      <c r="C179" s="28"/>
      <c r="D179" s="43"/>
      <c r="H179" s="29"/>
      <c r="I179" s="29"/>
      <c r="J179" s="29"/>
      <c r="K179" s="29"/>
      <c r="M179" s="71"/>
    </row>
    <row r="180" spans="1:13" s="132" customFormat="1" ht="27.6" x14ac:dyDescent="0.3">
      <c r="A180" s="246" t="s">
        <v>145</v>
      </c>
      <c r="B180" s="246" t="s">
        <v>70</v>
      </c>
      <c r="C180" s="48" t="s">
        <v>47</v>
      </c>
      <c r="D180" s="135" t="s">
        <v>97</v>
      </c>
      <c r="E180" s="48" t="s">
        <v>98</v>
      </c>
      <c r="F180" s="48" t="s">
        <v>99</v>
      </c>
      <c r="G180" s="48" t="s">
        <v>22</v>
      </c>
      <c r="H180" s="48" t="s">
        <v>23</v>
      </c>
      <c r="I180" s="135" t="s">
        <v>100</v>
      </c>
      <c r="J180" s="136"/>
      <c r="K180" s="52"/>
      <c r="L180" s="48" t="s">
        <v>101</v>
      </c>
      <c r="M180" s="48" t="s">
        <v>0</v>
      </c>
    </row>
    <row r="181" spans="1:13" s="132" customFormat="1" ht="12" customHeight="1" x14ac:dyDescent="0.3">
      <c r="A181" s="137"/>
      <c r="B181" s="71" t="str">
        <f>IF(A181="","",VLOOKUP(A181,'Database Lab+Equip'!$A:$D,2,FALSE))</f>
        <v/>
      </c>
      <c r="C181" s="139"/>
      <c r="D181" s="268"/>
      <c r="E181" s="140">
        <f>IF(A181="",0,VLOOKUP(A181,'Database Lab+Equip'!$A:$D,3,FALSE))</f>
        <v>0</v>
      </c>
      <c r="F181" s="140">
        <f>IF(A181="",0,VLOOKUP(A181,'Database Lab+Equip'!$A:$D,4,FALSE))</f>
        <v>0</v>
      </c>
      <c r="G181" s="140">
        <f>IF(A181="",0,C181*D181*E181*E$177)</f>
        <v>0</v>
      </c>
      <c r="H181" s="140">
        <f>IF(A181="",0,C181*D181*F181*E$177)</f>
        <v>0</v>
      </c>
      <c r="I181" s="140">
        <f>(H181*$M$177)+H181</f>
        <v>0</v>
      </c>
      <c r="J181" s="154"/>
      <c r="K181" s="26"/>
      <c r="M181" s="84"/>
    </row>
    <row r="182" spans="1:13" s="132" customFormat="1" ht="12" customHeight="1" x14ac:dyDescent="0.3">
      <c r="A182" s="137"/>
      <c r="B182" s="71" t="str">
        <f>IF(A182="","",VLOOKUP(A182,'Database Lab+Equip'!$A:$D,2,FALSE))</f>
        <v/>
      </c>
      <c r="C182" s="142"/>
      <c r="D182" s="269"/>
      <c r="E182" s="140">
        <f>IF(A182="",0,VLOOKUP(A182,'Database Lab+Equip'!$A:$D,3,FALSE))</f>
        <v>0</v>
      </c>
      <c r="F182" s="140">
        <f>IF(A182="",0,VLOOKUP(A182,'Database Lab+Equip'!$A:$D,4,FALSE))</f>
        <v>0</v>
      </c>
      <c r="G182" s="140">
        <f>IF(A182="",0,C182*D182*E182*E$177)</f>
        <v>0</v>
      </c>
      <c r="H182" s="140">
        <f>IF(A182="",0,C182*D182*F182*E$177)</f>
        <v>0</v>
      </c>
      <c r="I182" s="140">
        <f>(H182*$M$177)+H182</f>
        <v>0</v>
      </c>
      <c r="J182" s="154"/>
      <c r="K182" s="26"/>
      <c r="M182" s="122"/>
    </row>
    <row r="183" spans="1:13" s="132" customFormat="1" ht="12" customHeight="1" x14ac:dyDescent="0.3">
      <c r="A183" s="137"/>
      <c r="B183" s="71" t="str">
        <f>IF(A183="","",VLOOKUP(A183,'Database Lab+Equip'!$A:$D,2,FALSE))</f>
        <v/>
      </c>
      <c r="C183" s="142"/>
      <c r="D183" s="269"/>
      <c r="E183" s="140">
        <f>IF(A183="",0,VLOOKUP(A183,'Database Lab+Equip'!$A:$D,3,FALSE))</f>
        <v>0</v>
      </c>
      <c r="F183" s="140">
        <f>IF(A183="",0,VLOOKUP(A183,'Database Lab+Equip'!$A:$D,4,FALSE))</f>
        <v>0</v>
      </c>
      <c r="G183" s="140">
        <f>IF(A183="",0,C183*D183*E183*E$177)</f>
        <v>0</v>
      </c>
      <c r="H183" s="140">
        <f>IF(A183="",0,C183*D183*F183*E$177)</f>
        <v>0</v>
      </c>
      <c r="I183" s="140">
        <f>(H183*$M$177)+H183</f>
        <v>0</v>
      </c>
      <c r="J183" s="154"/>
      <c r="K183" s="26"/>
      <c r="M183" s="122"/>
    </row>
    <row r="184" spans="1:13" s="132" customFormat="1" ht="12" customHeight="1" x14ac:dyDescent="0.3">
      <c r="A184" s="137"/>
      <c r="B184" s="71" t="str">
        <f>IF(A184="","",VLOOKUP(A184,'Database Lab+Equip'!$A:$D,2,FALSE))</f>
        <v/>
      </c>
      <c r="C184" s="142"/>
      <c r="D184" s="269"/>
      <c r="E184" s="140">
        <f>IF(A184="",0,VLOOKUP(A184,'Database Lab+Equip'!$A:$D,3,FALSE))</f>
        <v>0</v>
      </c>
      <c r="F184" s="140">
        <f>IF(A184="",0,VLOOKUP(A184,'Database Lab+Equip'!$A:$D,4,FALSE))</f>
        <v>0</v>
      </c>
      <c r="G184" s="140">
        <f>IF(A184="",0,C184*D184*E184*E$177)</f>
        <v>0</v>
      </c>
      <c r="H184" s="140">
        <f>IF(A184="",0,C184*D184*F184*E$177)</f>
        <v>0</v>
      </c>
      <c r="I184" s="140">
        <f>(H184*$M$177)+H184</f>
        <v>0</v>
      </c>
      <c r="J184" s="154"/>
      <c r="K184" s="26"/>
      <c r="M184" s="122"/>
    </row>
    <row r="185" spans="1:13" s="132" customFormat="1" ht="12" customHeight="1" x14ac:dyDescent="0.3">
      <c r="A185" s="137"/>
      <c r="B185" s="71" t="str">
        <f>IF(A185="","",VLOOKUP(A185,'Database Lab+Equip'!$A:$D,2,FALSE))</f>
        <v/>
      </c>
      <c r="C185" s="142"/>
      <c r="D185" s="269"/>
      <c r="E185" s="140">
        <f>IF(A185="",0,VLOOKUP(A185,'Database Lab+Equip'!$A:$D,3,FALSE))</f>
        <v>0</v>
      </c>
      <c r="F185" s="140">
        <f>IF(A185="",0,VLOOKUP(A185,'Database Lab+Equip'!$A:$D,4,FALSE))</f>
        <v>0</v>
      </c>
      <c r="G185" s="140">
        <f>IF(A185="",0,C185*D185*E185*E$177)</f>
        <v>0</v>
      </c>
      <c r="H185" s="140">
        <f>IF(A185="",0,C185*D185*F185*E$177)</f>
        <v>0</v>
      </c>
      <c r="I185" s="140">
        <f>(H185*$M$177)+H185</f>
        <v>0</v>
      </c>
      <c r="J185" s="152" t="s">
        <v>108</v>
      </c>
      <c r="K185" s="153" t="s">
        <v>109</v>
      </c>
      <c r="L185" s="31"/>
      <c r="M185" s="123">
        <f>SUM(I181:I185)-SUM(G181:G185)</f>
        <v>0</v>
      </c>
    </row>
    <row r="186" spans="1:13" s="132" customFormat="1" ht="12" customHeight="1" x14ac:dyDescent="0.3">
      <c r="A186" s="35"/>
      <c r="C186" s="140"/>
      <c r="D186" s="270"/>
      <c r="E186" s="140"/>
      <c r="F186" s="140"/>
      <c r="G186" s="21">
        <f>SUM(G181:G185)</f>
        <v>0</v>
      </c>
      <c r="H186" s="21">
        <f>SUM(H181:H185)</f>
        <v>0</v>
      </c>
      <c r="I186" s="21">
        <f>SUM(I181:I185)</f>
        <v>0</v>
      </c>
      <c r="J186" s="21">
        <f>G186</f>
        <v>0</v>
      </c>
      <c r="K186" s="34">
        <f>I186</f>
        <v>0</v>
      </c>
      <c r="L186" s="154">
        <f>IF(J186=0,0,(K186-J186)/J186)</f>
        <v>0</v>
      </c>
      <c r="M186" s="122"/>
    </row>
    <row r="187" spans="1:13" s="132" customFormat="1" ht="12" customHeight="1" x14ac:dyDescent="0.3">
      <c r="A187" s="35"/>
      <c r="B187" s="71"/>
      <c r="C187" s="122"/>
      <c r="D187" s="265"/>
      <c r="E187" s="122"/>
      <c r="F187" s="122"/>
      <c r="G187" s="122"/>
      <c r="H187" s="122"/>
      <c r="I187" s="144"/>
      <c r="J187" s="84"/>
      <c r="K187" s="29"/>
      <c r="L187" s="122"/>
      <c r="M187" s="122"/>
    </row>
    <row r="188" spans="1:13" s="132" customFormat="1" ht="41.4" x14ac:dyDescent="0.3">
      <c r="A188" s="246" t="s">
        <v>96</v>
      </c>
      <c r="B188" s="246" t="s">
        <v>80</v>
      </c>
      <c r="C188" s="48" t="s">
        <v>47</v>
      </c>
      <c r="D188" s="135" t="s">
        <v>110</v>
      </c>
      <c r="E188" s="48" t="s">
        <v>98</v>
      </c>
      <c r="F188" s="48" t="s">
        <v>99</v>
      </c>
      <c r="G188" s="48" t="s">
        <v>22</v>
      </c>
      <c r="H188" s="48" t="s">
        <v>23</v>
      </c>
      <c r="I188" s="135" t="s">
        <v>100</v>
      </c>
      <c r="J188" s="145"/>
      <c r="K188" s="48"/>
      <c r="L188" s="124"/>
      <c r="M188" s="124"/>
    </row>
    <row r="189" spans="1:13" s="132" customFormat="1" ht="12" customHeight="1" x14ac:dyDescent="0.3">
      <c r="A189" s="148"/>
      <c r="B189" s="71" t="str">
        <f>IF(A189="","",VLOOKUP(A189,'Database Lab+Equip'!$F:$I,2,FALSE))</f>
        <v/>
      </c>
      <c r="C189" s="139"/>
      <c r="D189" s="271"/>
      <c r="E189" s="140">
        <f>IF(A189="",0,VLOOKUP(A189,'Database Lab+Equip'!$F:$I,3,FALSE))</f>
        <v>0</v>
      </c>
      <c r="F189" s="140">
        <f>IF(A189="",0,VLOOKUP(A189,'Database Lab+Equip'!$F:$I,4,FALSE))</f>
        <v>0</v>
      </c>
      <c r="G189" s="140">
        <f>IF(A189="",0,C189*D189*E189*E$177)</f>
        <v>0</v>
      </c>
      <c r="H189" s="140">
        <f>IF(A189="",0,C189*D189*F189*E$177)</f>
        <v>0</v>
      </c>
      <c r="I189" s="140">
        <f>(H189*$M$178)+H189</f>
        <v>0</v>
      </c>
      <c r="J189" s="84"/>
      <c r="K189" s="29"/>
      <c r="L189" s="122"/>
      <c r="M189" s="84"/>
    </row>
    <row r="190" spans="1:13" s="132" customFormat="1" ht="12" customHeight="1" x14ac:dyDescent="0.3">
      <c r="A190" s="148"/>
      <c r="B190" s="71" t="str">
        <f>IF(A190="","",VLOOKUP(A190,'Database Lab+Equip'!$F:$I,2,FALSE))</f>
        <v/>
      </c>
      <c r="C190" s="142"/>
      <c r="D190" s="272"/>
      <c r="E190" s="140">
        <f>IF(A190="",0,VLOOKUP(A190,'Database Lab+Equip'!$F:$I,3,FALSE))</f>
        <v>0</v>
      </c>
      <c r="F190" s="140">
        <f>IF(A190="",0,VLOOKUP(A190,'Database Lab+Equip'!$F:$I,4,FALSE))</f>
        <v>0</v>
      </c>
      <c r="G190" s="140">
        <f t="shared" ref="G190:G196" si="15">IF(A190="",0,C190*D190*E190*E$177)</f>
        <v>0</v>
      </c>
      <c r="H190" s="140">
        <f t="shared" ref="H190:H196" si="16">IF(A190="",0,C190*D190*F190*E$177)</f>
        <v>0</v>
      </c>
      <c r="I190" s="140">
        <f t="shared" ref="I190:I195" si="17">(H190*$M$178)+H190</f>
        <v>0</v>
      </c>
      <c r="J190" s="122"/>
      <c r="K190" s="29"/>
      <c r="L190" s="122"/>
      <c r="M190" s="122"/>
    </row>
    <row r="191" spans="1:13" s="132" customFormat="1" ht="12" customHeight="1" x14ac:dyDescent="0.3">
      <c r="A191" s="148"/>
      <c r="B191" s="71" t="str">
        <f>IF(A191="","",VLOOKUP(A191,'Database Lab+Equip'!$F:$I,2,FALSE))</f>
        <v/>
      </c>
      <c r="C191" s="142"/>
      <c r="D191" s="272"/>
      <c r="E191" s="140">
        <f>IF(A191="",0,VLOOKUP(A191,'Database Lab+Equip'!$F:$I,3,FALSE))</f>
        <v>0</v>
      </c>
      <c r="F191" s="140">
        <f>IF(A191="",0,VLOOKUP(A191,'Database Lab+Equip'!$F:$I,4,FALSE))</f>
        <v>0</v>
      </c>
      <c r="G191" s="140">
        <f t="shared" si="15"/>
        <v>0</v>
      </c>
      <c r="H191" s="140">
        <f t="shared" si="16"/>
        <v>0</v>
      </c>
      <c r="I191" s="140">
        <f t="shared" si="17"/>
        <v>0</v>
      </c>
      <c r="J191" s="84"/>
      <c r="K191" s="29"/>
      <c r="L191" s="122"/>
      <c r="M191" s="122"/>
    </row>
    <row r="192" spans="1:13" s="132" customFormat="1" ht="12" customHeight="1" x14ac:dyDescent="0.3">
      <c r="A192" s="148"/>
      <c r="B192" s="71" t="str">
        <f>IF(A192="","",VLOOKUP(A192,'Database Lab+Equip'!$F:$I,2,FALSE))</f>
        <v/>
      </c>
      <c r="C192" s="142"/>
      <c r="D192" s="272"/>
      <c r="E192" s="140">
        <f>IF(A192="",0,VLOOKUP(A192,'Database Lab+Equip'!$F:$I,3,FALSE))</f>
        <v>0</v>
      </c>
      <c r="F192" s="140">
        <f>IF(A192="",0,VLOOKUP(A192,'Database Lab+Equip'!$F:$I,4,FALSE))</f>
        <v>0</v>
      </c>
      <c r="G192" s="140">
        <f t="shared" si="15"/>
        <v>0</v>
      </c>
      <c r="H192" s="140">
        <f t="shared" si="16"/>
        <v>0</v>
      </c>
      <c r="I192" s="140">
        <f t="shared" si="17"/>
        <v>0</v>
      </c>
      <c r="J192" s="84"/>
      <c r="K192" s="29"/>
      <c r="L192" s="122"/>
      <c r="M192" s="122"/>
    </row>
    <row r="193" spans="1:13" s="132" customFormat="1" ht="12" customHeight="1" x14ac:dyDescent="0.3">
      <c r="A193" s="148"/>
      <c r="B193" s="71" t="str">
        <f>IF(A193="","",VLOOKUP(A193,'Database Lab+Equip'!$F:$I,2,FALSE))</f>
        <v/>
      </c>
      <c r="C193" s="142"/>
      <c r="D193" s="272"/>
      <c r="E193" s="140">
        <f>IF(A193="",0,VLOOKUP(A193,'Database Lab+Equip'!$F:$I,3,FALSE))</f>
        <v>0</v>
      </c>
      <c r="F193" s="140">
        <f>IF(A193="",0,VLOOKUP(A193,'Database Lab+Equip'!$F:$I,4,FALSE))</f>
        <v>0</v>
      </c>
      <c r="G193" s="140">
        <f t="shared" si="15"/>
        <v>0</v>
      </c>
      <c r="H193" s="140">
        <f t="shared" si="16"/>
        <v>0</v>
      </c>
      <c r="I193" s="140">
        <f t="shared" si="17"/>
        <v>0</v>
      </c>
      <c r="J193" s="84"/>
      <c r="K193" s="29"/>
      <c r="L193" s="122"/>
      <c r="M193" s="122"/>
    </row>
    <row r="194" spans="1:13" s="132" customFormat="1" ht="12" customHeight="1" x14ac:dyDescent="0.3">
      <c r="A194" s="148"/>
      <c r="B194" s="71" t="str">
        <f>IF(A194="","",VLOOKUP(A194,'Database Lab+Equip'!$F:$I,2,FALSE))</f>
        <v/>
      </c>
      <c r="C194" s="142"/>
      <c r="D194" s="272"/>
      <c r="E194" s="140">
        <f>IF(A194="",0,VLOOKUP(A194,'Database Lab+Equip'!$F:$I,3,FALSE))</f>
        <v>0</v>
      </c>
      <c r="F194" s="140">
        <f>IF(A194="",0,VLOOKUP(A194,'Database Lab+Equip'!$F:$I,4,FALSE))</f>
        <v>0</v>
      </c>
      <c r="G194" s="140">
        <f t="shared" si="15"/>
        <v>0</v>
      </c>
      <c r="H194" s="140">
        <f t="shared" si="16"/>
        <v>0</v>
      </c>
      <c r="I194" s="140">
        <f t="shared" si="17"/>
        <v>0</v>
      </c>
      <c r="J194" s="84"/>
      <c r="K194" s="29"/>
      <c r="L194" s="122"/>
      <c r="M194" s="122"/>
    </row>
    <row r="195" spans="1:13" s="132" customFormat="1" ht="12" customHeight="1" x14ac:dyDescent="0.3">
      <c r="A195" s="148"/>
      <c r="B195" s="71" t="str">
        <f>IF(A195="","",VLOOKUP(A195,'Database Lab+Equip'!$F:$I,2,FALSE))</f>
        <v/>
      </c>
      <c r="C195" s="142"/>
      <c r="D195" s="272"/>
      <c r="E195" s="140">
        <f>IF(A195="",0,VLOOKUP(A195,'Database Lab+Equip'!$F:$I,3,FALSE))</f>
        <v>0</v>
      </c>
      <c r="F195" s="140">
        <f>IF(A195="",0,VLOOKUP(A195,'Database Lab+Equip'!$F:$I,4,FALSE))</f>
        <v>0</v>
      </c>
      <c r="G195" s="140">
        <f t="shared" si="15"/>
        <v>0</v>
      </c>
      <c r="H195" s="140">
        <f t="shared" si="16"/>
        <v>0</v>
      </c>
      <c r="I195" s="140">
        <f t="shared" si="17"/>
        <v>0</v>
      </c>
      <c r="J195" s="84"/>
      <c r="K195" s="29"/>
      <c r="L195" s="122"/>
      <c r="M195" s="122"/>
    </row>
    <row r="196" spans="1:13" s="132" customFormat="1" ht="12" customHeight="1" x14ac:dyDescent="0.3">
      <c r="A196" s="148"/>
      <c r="B196" s="71" t="str">
        <f>IF(A196="","",VLOOKUP(A196,'Database Lab+Equip'!$F:$I,2,FALSE))</f>
        <v/>
      </c>
      <c r="C196" s="150"/>
      <c r="D196" s="273"/>
      <c r="E196" s="140">
        <f>IF(A196="",0,VLOOKUP(A196,'Database Lab+Equip'!$F:$I,3,FALSE))</f>
        <v>0</v>
      </c>
      <c r="F196" s="140">
        <f>IF(A196="",0,VLOOKUP(A196,'Database Lab+Equip'!$F:$I,4,FALSE))</f>
        <v>0</v>
      </c>
      <c r="G196" s="140">
        <f t="shared" si="15"/>
        <v>0</v>
      </c>
      <c r="H196" s="140">
        <f t="shared" si="16"/>
        <v>0</v>
      </c>
      <c r="I196" s="140">
        <f>(H196*$M$178)+H196</f>
        <v>0</v>
      </c>
      <c r="J196" s="152" t="s">
        <v>108</v>
      </c>
      <c r="K196" s="153" t="s">
        <v>109</v>
      </c>
      <c r="L196" s="31"/>
      <c r="M196" s="125">
        <f>SUM(I189:I196)-SUM(G189:G196)</f>
        <v>0</v>
      </c>
    </row>
    <row r="197" spans="1:13" s="132" customFormat="1" ht="12" customHeight="1" x14ac:dyDescent="0.3">
      <c r="A197" s="72"/>
      <c r="B197" s="143"/>
      <c r="C197" s="130"/>
      <c r="D197" s="265"/>
      <c r="E197" s="122"/>
      <c r="F197" s="122"/>
      <c r="G197" s="21">
        <f>SUM(G189:G196)</f>
        <v>0</v>
      </c>
      <c r="H197" s="21">
        <f>SUM(H189:H196)</f>
        <v>0</v>
      </c>
      <c r="I197" s="21">
        <f>SUM(I189:I196)</f>
        <v>0</v>
      </c>
      <c r="J197" s="21">
        <f>G197</f>
        <v>0</v>
      </c>
      <c r="K197" s="34">
        <f>I197</f>
        <v>0</v>
      </c>
      <c r="L197" s="154">
        <f>IF(J197=0,0,(K197-J197)/J197)</f>
        <v>0</v>
      </c>
      <c r="M197" s="187">
        <f>M185+M196</f>
        <v>0</v>
      </c>
    </row>
    <row r="198" spans="1:13" s="31" customFormat="1" ht="13.8" x14ac:dyDescent="0.3">
      <c r="A198" s="110"/>
      <c r="B198" s="115"/>
      <c r="C198" s="116"/>
      <c r="D198" s="274"/>
      <c r="E198" s="117"/>
      <c r="F198" s="117"/>
      <c r="G198" s="118"/>
      <c r="H198" s="110"/>
      <c r="I198" s="161"/>
      <c r="J198" s="162">
        <f>J186+J197</f>
        <v>0</v>
      </c>
      <c r="K198" s="162">
        <f>K186+K197</f>
        <v>0</v>
      </c>
      <c r="L198" s="119">
        <f>IF(J198=0,0,(K198-J198)/K198)</f>
        <v>0</v>
      </c>
      <c r="M198" s="173"/>
    </row>
    <row r="199" spans="1:13" s="31" customFormat="1" ht="13.8" x14ac:dyDescent="0.3">
      <c r="A199" s="112"/>
      <c r="B199" s="223"/>
      <c r="C199" s="214"/>
      <c r="D199" s="275"/>
      <c r="E199" s="215"/>
      <c r="F199" s="215"/>
      <c r="G199" s="216"/>
      <c r="H199" s="112"/>
      <c r="I199" s="217"/>
      <c r="J199" s="218"/>
      <c r="K199" s="218"/>
      <c r="L199" s="212"/>
      <c r="M199" s="213"/>
    </row>
    <row r="200" spans="1:13" ht="15.6" x14ac:dyDescent="0.3">
      <c r="B200" s="241" t="s">
        <v>172</v>
      </c>
      <c r="C200" s="129"/>
      <c r="D200" s="129"/>
      <c r="E200" s="129"/>
      <c r="F200" s="129"/>
      <c r="H200" s="132"/>
      <c r="I200" s="132"/>
      <c r="L200" s="221" t="s">
        <v>85</v>
      </c>
      <c r="M200" s="222"/>
    </row>
    <row r="201" spans="1:13" s="132" customFormat="1" ht="12" customHeight="1" x14ac:dyDescent="0.3">
      <c r="A201" s="72"/>
      <c r="B201" s="24" t="s">
        <v>135</v>
      </c>
      <c r="C201" s="22"/>
      <c r="D201" s="266" t="s">
        <v>87</v>
      </c>
      <c r="E201" s="23"/>
      <c r="F201" s="133"/>
      <c r="H201" s="14"/>
      <c r="I201" s="14"/>
      <c r="J201" s="14"/>
      <c r="K201" s="14"/>
      <c r="L201" s="219" t="s">
        <v>88</v>
      </c>
      <c r="M201" s="220"/>
    </row>
    <row r="202" spans="1:13" s="132" customFormat="1" ht="12" customHeight="1" x14ac:dyDescent="0.3">
      <c r="A202" s="72"/>
      <c r="B202" s="24" t="s">
        <v>141</v>
      </c>
      <c r="C202" s="25"/>
      <c r="D202" s="266" t="s">
        <v>89</v>
      </c>
      <c r="E202" s="23"/>
      <c r="K202" s="14"/>
      <c r="L202" s="126" t="s">
        <v>90</v>
      </c>
      <c r="M202" s="127"/>
    </row>
    <row r="203" spans="1:13" s="132" customFormat="1" ht="12" customHeight="1" x14ac:dyDescent="0.3">
      <c r="A203" s="72"/>
      <c r="B203" s="24" t="s">
        <v>142</v>
      </c>
      <c r="C203" s="27" t="str">
        <f>IF(C201="","",IF(E203="","",C201/E203+C202))</f>
        <v/>
      </c>
      <c r="D203" s="266" t="s">
        <v>91</v>
      </c>
      <c r="E203" s="23"/>
      <c r="I203" s="26"/>
      <c r="J203" s="26"/>
      <c r="K203" s="14"/>
      <c r="L203" s="126" t="s">
        <v>92</v>
      </c>
      <c r="M203" s="127"/>
    </row>
    <row r="204" spans="1:13" s="132" customFormat="1" ht="12" customHeight="1" x14ac:dyDescent="0.3">
      <c r="A204" s="72"/>
      <c r="B204" s="59" t="s">
        <v>143</v>
      </c>
      <c r="C204" s="260"/>
      <c r="D204" s="266" t="s">
        <v>25</v>
      </c>
      <c r="E204" s="128">
        <f>SUM(C209:C213)</f>
        <v>0</v>
      </c>
      <c r="I204" s="26"/>
      <c r="J204" s="26"/>
      <c r="K204" s="14"/>
      <c r="L204" s="93" t="s">
        <v>94</v>
      </c>
      <c r="M204" s="94"/>
    </row>
    <row r="205" spans="1:13" s="132" customFormat="1" ht="12" customHeight="1" x14ac:dyDescent="0.3">
      <c r="A205" s="72"/>
      <c r="B205" s="59" t="s">
        <v>144</v>
      </c>
      <c r="C205" s="25"/>
      <c r="D205" s="266" t="s">
        <v>44</v>
      </c>
      <c r="E205" s="244">
        <f>IF(E204=0,0,(C203/C204)/C205)</f>
        <v>0</v>
      </c>
      <c r="I205" s="26"/>
      <c r="J205" s="26"/>
      <c r="K205" s="14"/>
      <c r="L205" s="57" t="s">
        <v>70</v>
      </c>
      <c r="M205" s="58">
        <f>M9</f>
        <v>0.05</v>
      </c>
    </row>
    <row r="206" spans="1:13" s="132" customFormat="1" ht="12" customHeight="1" x14ac:dyDescent="0.3">
      <c r="A206" s="72"/>
      <c r="B206" s="28"/>
      <c r="C206" s="122"/>
      <c r="D206" s="267"/>
      <c r="E206" s="211"/>
      <c r="I206" s="26"/>
      <c r="J206" s="26"/>
      <c r="K206" s="14"/>
      <c r="L206" s="57" t="s">
        <v>80</v>
      </c>
      <c r="M206" s="58">
        <f>M10</f>
        <v>0.05</v>
      </c>
    </row>
    <row r="207" spans="1:13" s="132" customFormat="1" ht="12" customHeight="1" x14ac:dyDescent="0.3">
      <c r="A207" s="72"/>
      <c r="B207" s="28"/>
      <c r="C207" s="28"/>
      <c r="D207" s="43"/>
      <c r="H207" s="29"/>
      <c r="I207" s="29"/>
      <c r="J207" s="29"/>
      <c r="K207" s="29"/>
      <c r="M207" s="71"/>
    </row>
    <row r="208" spans="1:13" s="132" customFormat="1" ht="27.6" x14ac:dyDescent="0.3">
      <c r="A208" s="246" t="s">
        <v>145</v>
      </c>
      <c r="B208" s="246" t="s">
        <v>70</v>
      </c>
      <c r="C208" s="48" t="s">
        <v>47</v>
      </c>
      <c r="D208" s="135" t="s">
        <v>97</v>
      </c>
      <c r="E208" s="48" t="s">
        <v>98</v>
      </c>
      <c r="F208" s="48" t="s">
        <v>99</v>
      </c>
      <c r="G208" s="48" t="s">
        <v>22</v>
      </c>
      <c r="H208" s="48" t="s">
        <v>23</v>
      </c>
      <c r="I208" s="135" t="s">
        <v>100</v>
      </c>
      <c r="J208" s="136"/>
      <c r="K208" s="52"/>
      <c r="L208" s="48" t="s">
        <v>101</v>
      </c>
      <c r="M208" s="48" t="s">
        <v>0</v>
      </c>
    </row>
    <row r="209" spans="1:13" s="132" customFormat="1" ht="12" customHeight="1" x14ac:dyDescent="0.3">
      <c r="A209" s="137"/>
      <c r="B209" s="71" t="str">
        <f>IF(A209="","",VLOOKUP(A209,'Database Lab+Equip'!$A:$D,2,FALSE))</f>
        <v/>
      </c>
      <c r="C209" s="139"/>
      <c r="D209" s="268"/>
      <c r="E209" s="140">
        <f>IF(A209="",0,VLOOKUP(A209,'Database Lab+Equip'!$A:$D,3,FALSE))</f>
        <v>0</v>
      </c>
      <c r="F209" s="140">
        <f>IF(A209="",0,VLOOKUP(A209,'Database Lab+Equip'!$A:$D,4,FALSE))</f>
        <v>0</v>
      </c>
      <c r="G209" s="140">
        <f>IF(A209="",0,C209*D209*E209*E$205)</f>
        <v>0</v>
      </c>
      <c r="H209" s="140">
        <f>IF(A209="",0,C209*D209*F209*E$205)</f>
        <v>0</v>
      </c>
      <c r="I209" s="140">
        <f>(H209*$M$205)+H209</f>
        <v>0</v>
      </c>
      <c r="J209" s="154"/>
      <c r="K209" s="26"/>
      <c r="M209" s="84"/>
    </row>
    <row r="210" spans="1:13" s="132" customFormat="1" ht="12" customHeight="1" x14ac:dyDescent="0.3">
      <c r="A210" s="137"/>
      <c r="B210" s="71" t="str">
        <f>IF(A210="","",VLOOKUP(A210,'Database Lab+Equip'!$A:$D,2,FALSE))</f>
        <v/>
      </c>
      <c r="C210" s="142"/>
      <c r="D210" s="269"/>
      <c r="E210" s="140">
        <f>IF(A210="",0,VLOOKUP(A210,'Database Lab+Equip'!$A:$D,3,FALSE))</f>
        <v>0</v>
      </c>
      <c r="F210" s="140">
        <f>IF(A210="",0,VLOOKUP(A210,'Database Lab+Equip'!$A:$D,4,FALSE))</f>
        <v>0</v>
      </c>
      <c r="G210" s="140">
        <f>IF(A210="",0,C210*D210*E210*E$205)</f>
        <v>0</v>
      </c>
      <c r="H210" s="140">
        <f>IF(A210="",0,C210*D210*F210*E$205)</f>
        <v>0</v>
      </c>
      <c r="I210" s="140">
        <f>(H210*$M$205)+H210</f>
        <v>0</v>
      </c>
      <c r="J210" s="154"/>
      <c r="K210" s="26"/>
      <c r="M210" s="122"/>
    </row>
    <row r="211" spans="1:13" s="132" customFormat="1" ht="12" customHeight="1" x14ac:dyDescent="0.3">
      <c r="A211" s="137"/>
      <c r="B211" s="71" t="str">
        <f>IF(A211="","",VLOOKUP(A211,'Database Lab+Equip'!$A:$D,2,FALSE))</f>
        <v/>
      </c>
      <c r="C211" s="142"/>
      <c r="D211" s="269"/>
      <c r="E211" s="140">
        <f>IF(A211="",0,VLOOKUP(A211,'Database Lab+Equip'!$A:$D,3,FALSE))</f>
        <v>0</v>
      </c>
      <c r="F211" s="140">
        <f>IF(A211="",0,VLOOKUP(A211,'Database Lab+Equip'!$A:$D,4,FALSE))</f>
        <v>0</v>
      </c>
      <c r="G211" s="140">
        <f>IF(A211="",0,C211*D211*E211*E$205)</f>
        <v>0</v>
      </c>
      <c r="H211" s="140">
        <f>IF(A211="",0,C211*D211*F211*E$205)</f>
        <v>0</v>
      </c>
      <c r="I211" s="140">
        <f>(H211*$M$205)+H211</f>
        <v>0</v>
      </c>
      <c r="J211" s="154"/>
      <c r="K211" s="26"/>
      <c r="M211" s="122"/>
    </row>
    <row r="212" spans="1:13" s="132" customFormat="1" ht="12" customHeight="1" x14ac:dyDescent="0.3">
      <c r="A212" s="137"/>
      <c r="B212" s="71" t="str">
        <f>IF(A212="","",VLOOKUP(A212,'Database Lab+Equip'!$A:$D,2,FALSE))</f>
        <v/>
      </c>
      <c r="C212" s="142"/>
      <c r="D212" s="269"/>
      <c r="E212" s="140">
        <f>IF(A212="",0,VLOOKUP(A212,'Database Lab+Equip'!$A:$D,3,FALSE))</f>
        <v>0</v>
      </c>
      <c r="F212" s="140">
        <f>IF(A212="",0,VLOOKUP(A212,'Database Lab+Equip'!$A:$D,4,FALSE))</f>
        <v>0</v>
      </c>
      <c r="G212" s="140">
        <f>IF(A212="",0,C212*D212*E212*E$205)</f>
        <v>0</v>
      </c>
      <c r="H212" s="140">
        <f>IF(A212="",0,C212*D212*F212*E$205)</f>
        <v>0</v>
      </c>
      <c r="I212" s="140">
        <f>(H212*$M$205)+H212</f>
        <v>0</v>
      </c>
      <c r="J212" s="154"/>
      <c r="K212" s="26"/>
      <c r="M212" s="122"/>
    </row>
    <row r="213" spans="1:13" s="132" customFormat="1" ht="12" customHeight="1" x14ac:dyDescent="0.3">
      <c r="A213" s="137"/>
      <c r="B213" s="71" t="str">
        <f>IF(A213="","",VLOOKUP(A213,'Database Lab+Equip'!$A:$D,2,FALSE))</f>
        <v/>
      </c>
      <c r="C213" s="142"/>
      <c r="D213" s="269"/>
      <c r="E213" s="140">
        <f>IF(A213="",0,VLOOKUP(A213,'Database Lab+Equip'!$A:$D,3,FALSE))</f>
        <v>0</v>
      </c>
      <c r="F213" s="140">
        <f>IF(A213="",0,VLOOKUP(A213,'Database Lab+Equip'!$A:$D,4,FALSE))</f>
        <v>0</v>
      </c>
      <c r="G213" s="140">
        <f>IF(A213="",0,C213*D213*E213*E$205)</f>
        <v>0</v>
      </c>
      <c r="H213" s="140">
        <f>IF(A213="",0,C213*D213*F213*E$205)</f>
        <v>0</v>
      </c>
      <c r="I213" s="140">
        <f>(H213*$M$205)+H213</f>
        <v>0</v>
      </c>
      <c r="J213" s="152" t="s">
        <v>108</v>
      </c>
      <c r="K213" s="153" t="s">
        <v>109</v>
      </c>
      <c r="L213" s="31"/>
      <c r="M213" s="123">
        <f>SUM(I209:I213)-SUM(G209:G213)</f>
        <v>0</v>
      </c>
    </row>
    <row r="214" spans="1:13" s="132" customFormat="1" ht="12" customHeight="1" x14ac:dyDescent="0.3">
      <c r="A214" s="35"/>
      <c r="C214" s="140"/>
      <c r="D214" s="270"/>
      <c r="E214" s="140"/>
      <c r="F214" s="140"/>
      <c r="G214" s="21">
        <f>SUM(G209:G213)</f>
        <v>0</v>
      </c>
      <c r="H214" s="21">
        <f>SUM(H209:H213)</f>
        <v>0</v>
      </c>
      <c r="I214" s="21">
        <f>SUM(I209:I213)</f>
        <v>0</v>
      </c>
      <c r="J214" s="21">
        <f>G214</f>
        <v>0</v>
      </c>
      <c r="K214" s="34">
        <f>I214</f>
        <v>0</v>
      </c>
      <c r="L214" s="154">
        <f>IF(J214=0,0,(K214-J214)/J214)</f>
        <v>0</v>
      </c>
      <c r="M214" s="122"/>
    </row>
    <row r="215" spans="1:13" s="132" customFormat="1" ht="12" customHeight="1" x14ac:dyDescent="0.3">
      <c r="A215" s="35"/>
      <c r="B215" s="71"/>
      <c r="C215" s="122"/>
      <c r="D215" s="265"/>
      <c r="E215" s="122"/>
      <c r="F215" s="122"/>
      <c r="G215" s="122"/>
      <c r="H215" s="122"/>
      <c r="I215" s="144"/>
      <c r="J215" s="84"/>
      <c r="K215" s="29"/>
      <c r="L215" s="122"/>
      <c r="M215" s="122"/>
    </row>
    <row r="216" spans="1:13" s="132" customFormat="1" ht="41.4" x14ac:dyDescent="0.3">
      <c r="A216" s="246" t="s">
        <v>96</v>
      </c>
      <c r="B216" s="246" t="s">
        <v>80</v>
      </c>
      <c r="C216" s="48" t="s">
        <v>47</v>
      </c>
      <c r="D216" s="135" t="s">
        <v>110</v>
      </c>
      <c r="E216" s="48" t="s">
        <v>98</v>
      </c>
      <c r="F216" s="48" t="s">
        <v>99</v>
      </c>
      <c r="G216" s="48" t="s">
        <v>22</v>
      </c>
      <c r="H216" s="48" t="s">
        <v>23</v>
      </c>
      <c r="I216" s="135" t="s">
        <v>100</v>
      </c>
      <c r="J216" s="145"/>
      <c r="K216" s="48"/>
      <c r="L216" s="124"/>
      <c r="M216" s="124"/>
    </row>
    <row r="217" spans="1:13" s="132" customFormat="1" ht="12" customHeight="1" x14ac:dyDescent="0.3">
      <c r="A217" s="148"/>
      <c r="B217" s="71" t="str">
        <f>IF(A217="","",VLOOKUP(A217,'Database Lab+Equip'!$F:$I,2,FALSE))</f>
        <v/>
      </c>
      <c r="C217" s="139"/>
      <c r="D217" s="271"/>
      <c r="E217" s="140">
        <f>IF(A217="",0,VLOOKUP(A217,'Database Lab+Equip'!$F:$I,3,FALSE))</f>
        <v>0</v>
      </c>
      <c r="F217" s="140">
        <f>IF(A217="",0,VLOOKUP(A217,'Database Lab+Equip'!$F:$I,4,FALSE))</f>
        <v>0</v>
      </c>
      <c r="G217" s="140">
        <f>IF(A217="",0,C217*D217*E217*E$205)</f>
        <v>0</v>
      </c>
      <c r="H217" s="140">
        <f>IF(A217="",0,C217*D217*F217*E$205)</f>
        <v>0</v>
      </c>
      <c r="I217" s="140">
        <f>(H217*$M$206)+H217</f>
        <v>0</v>
      </c>
      <c r="J217" s="84"/>
      <c r="K217" s="29"/>
      <c r="L217" s="122"/>
      <c r="M217" s="84"/>
    </row>
    <row r="218" spans="1:13" s="132" customFormat="1" ht="12" customHeight="1" x14ac:dyDescent="0.3">
      <c r="A218" s="148"/>
      <c r="B218" s="71" t="str">
        <f>IF(A218="","",VLOOKUP(A218,'Database Lab+Equip'!$F:$I,2,FALSE))</f>
        <v/>
      </c>
      <c r="C218" s="142"/>
      <c r="D218" s="272"/>
      <c r="E218" s="140">
        <f>IF(A218="",0,VLOOKUP(A218,'Database Lab+Equip'!$F:$I,3,FALSE))</f>
        <v>0</v>
      </c>
      <c r="F218" s="140">
        <f>IF(A218="",0,VLOOKUP(A218,'Database Lab+Equip'!$F:$I,4,FALSE))</f>
        <v>0</v>
      </c>
      <c r="G218" s="140">
        <f t="shared" ref="G218:G224" si="18">IF(A218="",0,C218*D218*E218*E$205)</f>
        <v>0</v>
      </c>
      <c r="H218" s="140">
        <f t="shared" ref="H218:H224" si="19">IF(A218="",0,C218*D218*F218*E$205)</f>
        <v>0</v>
      </c>
      <c r="I218" s="140">
        <f t="shared" ref="I218:I224" si="20">(H218*$M$206)+H218</f>
        <v>0</v>
      </c>
      <c r="J218" s="122"/>
      <c r="K218" s="29"/>
      <c r="L218" s="122"/>
      <c r="M218" s="122"/>
    </row>
    <row r="219" spans="1:13" s="132" customFormat="1" ht="12" customHeight="1" x14ac:dyDescent="0.3">
      <c r="A219" s="148"/>
      <c r="B219" s="71" t="str">
        <f>IF(A219="","",VLOOKUP(A219,'Database Lab+Equip'!$F:$I,2,FALSE))</f>
        <v/>
      </c>
      <c r="C219" s="142"/>
      <c r="D219" s="272"/>
      <c r="E219" s="140">
        <f>IF(A219="",0,VLOOKUP(A219,'Database Lab+Equip'!$F:$I,3,FALSE))</f>
        <v>0</v>
      </c>
      <c r="F219" s="140">
        <f>IF(A219="",0,VLOOKUP(A219,'Database Lab+Equip'!$F:$I,4,FALSE))</f>
        <v>0</v>
      </c>
      <c r="G219" s="140">
        <f t="shared" si="18"/>
        <v>0</v>
      </c>
      <c r="H219" s="140">
        <f t="shared" si="19"/>
        <v>0</v>
      </c>
      <c r="I219" s="140">
        <f t="shared" si="20"/>
        <v>0</v>
      </c>
      <c r="J219" s="84"/>
      <c r="K219" s="29"/>
      <c r="L219" s="122"/>
      <c r="M219" s="122"/>
    </row>
    <row r="220" spans="1:13" s="132" customFormat="1" ht="12" customHeight="1" x14ac:dyDescent="0.3">
      <c r="A220" s="148"/>
      <c r="B220" s="71" t="str">
        <f>IF(A220="","",VLOOKUP(A220,'Database Lab+Equip'!$F:$I,2,FALSE))</f>
        <v/>
      </c>
      <c r="C220" s="142"/>
      <c r="D220" s="272"/>
      <c r="E220" s="140">
        <f>IF(A220="",0,VLOOKUP(A220,'Database Lab+Equip'!$F:$I,3,FALSE))</f>
        <v>0</v>
      </c>
      <c r="F220" s="140">
        <f>IF(A220="",0,VLOOKUP(A220,'Database Lab+Equip'!$F:$I,4,FALSE))</f>
        <v>0</v>
      </c>
      <c r="G220" s="140">
        <f t="shared" si="18"/>
        <v>0</v>
      </c>
      <c r="H220" s="140">
        <f t="shared" si="19"/>
        <v>0</v>
      </c>
      <c r="I220" s="140">
        <f t="shared" si="20"/>
        <v>0</v>
      </c>
      <c r="J220" s="84"/>
      <c r="K220" s="29"/>
      <c r="L220" s="122"/>
      <c r="M220" s="122"/>
    </row>
    <row r="221" spans="1:13" s="132" customFormat="1" ht="12" customHeight="1" x14ac:dyDescent="0.3">
      <c r="A221" s="148"/>
      <c r="B221" s="71" t="str">
        <f>IF(A221="","",VLOOKUP(A221,'Database Lab+Equip'!$F:$I,2,FALSE))</f>
        <v/>
      </c>
      <c r="C221" s="142"/>
      <c r="D221" s="272"/>
      <c r="E221" s="140">
        <f>IF(A221="",0,VLOOKUP(A221,'Database Lab+Equip'!$F:$I,3,FALSE))</f>
        <v>0</v>
      </c>
      <c r="F221" s="140">
        <f>IF(A221="",0,VLOOKUP(A221,'Database Lab+Equip'!$F:$I,4,FALSE))</f>
        <v>0</v>
      </c>
      <c r="G221" s="140">
        <f t="shared" si="18"/>
        <v>0</v>
      </c>
      <c r="H221" s="140">
        <f t="shared" si="19"/>
        <v>0</v>
      </c>
      <c r="I221" s="140">
        <f t="shared" si="20"/>
        <v>0</v>
      </c>
      <c r="J221" s="84"/>
      <c r="K221" s="29"/>
      <c r="L221" s="122"/>
      <c r="M221" s="122"/>
    </row>
    <row r="222" spans="1:13" s="132" customFormat="1" ht="12" customHeight="1" x14ac:dyDescent="0.3">
      <c r="A222" s="148"/>
      <c r="B222" s="71" t="str">
        <f>IF(A222="","",VLOOKUP(A222,'Database Lab+Equip'!$F:$I,2,FALSE))</f>
        <v/>
      </c>
      <c r="C222" s="142"/>
      <c r="D222" s="272"/>
      <c r="E222" s="140">
        <f>IF(A222="",0,VLOOKUP(A222,'Database Lab+Equip'!$F:$I,3,FALSE))</f>
        <v>0</v>
      </c>
      <c r="F222" s="140">
        <f>IF(A222="",0,VLOOKUP(A222,'Database Lab+Equip'!$F:$I,4,FALSE))</f>
        <v>0</v>
      </c>
      <c r="G222" s="140">
        <f t="shared" si="18"/>
        <v>0</v>
      </c>
      <c r="H222" s="140">
        <f t="shared" si="19"/>
        <v>0</v>
      </c>
      <c r="I222" s="140">
        <f t="shared" si="20"/>
        <v>0</v>
      </c>
      <c r="J222" s="84"/>
      <c r="K222" s="29"/>
      <c r="L222" s="122"/>
      <c r="M222" s="122"/>
    </row>
    <row r="223" spans="1:13" s="132" customFormat="1" ht="12" customHeight="1" x14ac:dyDescent="0.3">
      <c r="A223" s="148"/>
      <c r="B223" s="71" t="str">
        <f>IF(A223="","",VLOOKUP(A223,'Database Lab+Equip'!$F:$I,2,FALSE))</f>
        <v/>
      </c>
      <c r="C223" s="142"/>
      <c r="D223" s="272"/>
      <c r="E223" s="140">
        <f>IF(A223="",0,VLOOKUP(A223,'Database Lab+Equip'!$F:$I,3,FALSE))</f>
        <v>0</v>
      </c>
      <c r="F223" s="140">
        <f>IF(A223="",0,VLOOKUP(A223,'Database Lab+Equip'!$F:$I,4,FALSE))</f>
        <v>0</v>
      </c>
      <c r="G223" s="140">
        <f t="shared" si="18"/>
        <v>0</v>
      </c>
      <c r="H223" s="140">
        <f t="shared" si="19"/>
        <v>0</v>
      </c>
      <c r="I223" s="140">
        <f t="shared" si="20"/>
        <v>0</v>
      </c>
      <c r="J223" s="84"/>
      <c r="K223" s="29"/>
      <c r="L223" s="122"/>
      <c r="M223" s="122"/>
    </row>
    <row r="224" spans="1:13" s="132" customFormat="1" ht="12" customHeight="1" x14ac:dyDescent="0.3">
      <c r="A224" s="148"/>
      <c r="B224" s="71" t="str">
        <f>IF(A224="","",VLOOKUP(A224,'Database Lab+Equip'!$F:$I,2,FALSE))</f>
        <v/>
      </c>
      <c r="C224" s="150"/>
      <c r="D224" s="273"/>
      <c r="E224" s="140">
        <f>IF(A224="",0,VLOOKUP(A224,'Database Lab+Equip'!$F:$I,3,FALSE))</f>
        <v>0</v>
      </c>
      <c r="F224" s="140">
        <f>IF(A224="",0,VLOOKUP(A224,'Database Lab+Equip'!$F:$I,4,FALSE))</f>
        <v>0</v>
      </c>
      <c r="G224" s="140">
        <f t="shared" si="18"/>
        <v>0</v>
      </c>
      <c r="H224" s="140">
        <f t="shared" si="19"/>
        <v>0</v>
      </c>
      <c r="I224" s="140">
        <f t="shared" si="20"/>
        <v>0</v>
      </c>
      <c r="J224" s="152" t="s">
        <v>108</v>
      </c>
      <c r="K224" s="153" t="s">
        <v>109</v>
      </c>
      <c r="L224" s="31"/>
      <c r="M224" s="125">
        <f>SUM(I217:I224)-SUM(G217:G224)</f>
        <v>0</v>
      </c>
    </row>
    <row r="225" spans="1:13" s="132" customFormat="1" ht="12" customHeight="1" x14ac:dyDescent="0.3">
      <c r="A225" s="72"/>
      <c r="B225" s="143"/>
      <c r="C225" s="130"/>
      <c r="D225" s="265"/>
      <c r="E225" s="122"/>
      <c r="F225" s="122"/>
      <c r="G225" s="21">
        <f>SUM(G217:G224)</f>
        <v>0</v>
      </c>
      <c r="H225" s="21">
        <f>SUM(H217:H224)</f>
        <v>0</v>
      </c>
      <c r="I225" s="21">
        <f>SUM(I217:I224)</f>
        <v>0</v>
      </c>
      <c r="J225" s="21">
        <f>G225</f>
        <v>0</v>
      </c>
      <c r="K225" s="34">
        <f>I225</f>
        <v>0</v>
      </c>
      <c r="L225" s="154">
        <f>IF(J225=0,0,(K225-J225)/J225)</f>
        <v>0</v>
      </c>
      <c r="M225" s="187">
        <f>M213+M224</f>
        <v>0</v>
      </c>
    </row>
    <row r="226" spans="1:13" s="31" customFormat="1" ht="13.8" x14ac:dyDescent="0.3">
      <c r="A226" s="110"/>
      <c r="B226" s="115"/>
      <c r="C226" s="116"/>
      <c r="D226" s="274"/>
      <c r="E226" s="117"/>
      <c r="F226" s="117"/>
      <c r="G226" s="118"/>
      <c r="H226" s="110"/>
      <c r="I226" s="161"/>
      <c r="J226" s="162">
        <f>J214+J225</f>
        <v>0</v>
      </c>
      <c r="K226" s="162">
        <f>K214+K225</f>
        <v>0</v>
      </c>
      <c r="L226" s="119">
        <f>IF(J226=0,0,(K226-J226)/K226)</f>
        <v>0</v>
      </c>
      <c r="M226" s="173"/>
    </row>
    <row r="227" spans="1:13" s="31" customFormat="1" ht="13.8" x14ac:dyDescent="0.3">
      <c r="A227" s="112"/>
      <c r="B227" s="223"/>
      <c r="C227" s="214"/>
      <c r="D227" s="275"/>
      <c r="E227" s="215"/>
      <c r="F227" s="215"/>
      <c r="G227" s="216"/>
      <c r="H227" s="112"/>
      <c r="I227" s="217"/>
      <c r="J227" s="218"/>
      <c r="K227" s="218"/>
      <c r="L227" s="212"/>
      <c r="M227" s="213"/>
    </row>
    <row r="228" spans="1:13" ht="15.6" x14ac:dyDescent="0.3">
      <c r="B228" s="241" t="s">
        <v>173</v>
      </c>
      <c r="C228" s="129"/>
      <c r="D228" s="129"/>
      <c r="E228" s="129"/>
      <c r="F228" s="129"/>
      <c r="H228" s="132"/>
      <c r="I228" s="132"/>
      <c r="L228" s="221" t="s">
        <v>85</v>
      </c>
      <c r="M228" s="222"/>
    </row>
    <row r="229" spans="1:13" s="132" customFormat="1" ht="12" customHeight="1" x14ac:dyDescent="0.3">
      <c r="A229" s="72"/>
      <c r="B229" s="24" t="s">
        <v>135</v>
      </c>
      <c r="C229" s="22"/>
      <c r="D229" s="266" t="s">
        <v>87</v>
      </c>
      <c r="E229" s="23"/>
      <c r="F229" s="133"/>
      <c r="H229" s="14"/>
      <c r="I229" s="14"/>
      <c r="J229" s="14"/>
      <c r="K229" s="14"/>
      <c r="L229" s="219" t="s">
        <v>88</v>
      </c>
      <c r="M229" s="220"/>
    </row>
    <row r="230" spans="1:13" s="132" customFormat="1" ht="12" customHeight="1" x14ac:dyDescent="0.3">
      <c r="A230" s="72"/>
      <c r="B230" s="24" t="s">
        <v>141</v>
      </c>
      <c r="C230" s="25"/>
      <c r="D230" s="266" t="s">
        <v>89</v>
      </c>
      <c r="E230" s="23"/>
      <c r="K230" s="14"/>
      <c r="L230" s="126" t="s">
        <v>90</v>
      </c>
      <c r="M230" s="127"/>
    </row>
    <row r="231" spans="1:13" s="132" customFormat="1" ht="12" customHeight="1" x14ac:dyDescent="0.3">
      <c r="A231" s="72"/>
      <c r="B231" s="24" t="s">
        <v>142</v>
      </c>
      <c r="C231" s="27" t="str">
        <f>IF(C229="","",IF(E231="","",C229/E231+C230))</f>
        <v/>
      </c>
      <c r="D231" s="266" t="s">
        <v>91</v>
      </c>
      <c r="E231" s="23"/>
      <c r="I231" s="26"/>
      <c r="J231" s="26"/>
      <c r="K231" s="14"/>
      <c r="L231" s="126" t="s">
        <v>92</v>
      </c>
      <c r="M231" s="127"/>
    </row>
    <row r="232" spans="1:13" s="132" customFormat="1" ht="12" customHeight="1" x14ac:dyDescent="0.3">
      <c r="A232" s="72"/>
      <c r="B232" s="59" t="s">
        <v>143</v>
      </c>
      <c r="C232" s="260"/>
      <c r="D232" s="266" t="s">
        <v>25</v>
      </c>
      <c r="E232" s="128">
        <f>SUM(C237:C241)</f>
        <v>0</v>
      </c>
      <c r="I232" s="26"/>
      <c r="J232" s="26"/>
      <c r="K232" s="14"/>
      <c r="L232" s="93" t="s">
        <v>94</v>
      </c>
      <c r="M232" s="94"/>
    </row>
    <row r="233" spans="1:13" s="132" customFormat="1" ht="12" customHeight="1" x14ac:dyDescent="0.3">
      <c r="A233" s="72"/>
      <c r="B233" s="59" t="s">
        <v>144</v>
      </c>
      <c r="C233" s="25"/>
      <c r="D233" s="266" t="s">
        <v>44</v>
      </c>
      <c r="E233" s="244">
        <f>IF(E232=0,0,(C231/C232)/C233)</f>
        <v>0</v>
      </c>
      <c r="I233" s="26"/>
      <c r="J233" s="26"/>
      <c r="K233" s="14"/>
      <c r="L233" s="57" t="s">
        <v>70</v>
      </c>
      <c r="M233" s="58">
        <f>M9</f>
        <v>0.05</v>
      </c>
    </row>
    <row r="234" spans="1:13" s="132" customFormat="1" ht="12" customHeight="1" x14ac:dyDescent="0.3">
      <c r="A234" s="72"/>
      <c r="B234" s="28"/>
      <c r="C234" s="122"/>
      <c r="D234" s="267"/>
      <c r="E234" s="211"/>
      <c r="I234" s="26"/>
      <c r="J234" s="26"/>
      <c r="K234" s="14"/>
      <c r="L234" s="57" t="s">
        <v>80</v>
      </c>
      <c r="M234" s="58">
        <f>M10</f>
        <v>0.05</v>
      </c>
    </row>
    <row r="235" spans="1:13" s="132" customFormat="1" ht="12" customHeight="1" x14ac:dyDescent="0.3">
      <c r="A235" s="72"/>
      <c r="B235" s="28"/>
      <c r="C235" s="28"/>
      <c r="D235" s="43"/>
      <c r="H235" s="29"/>
      <c r="I235" s="29"/>
      <c r="J235" s="29"/>
      <c r="K235" s="29"/>
      <c r="M235" s="71"/>
    </row>
    <row r="236" spans="1:13" s="132" customFormat="1" ht="27.6" x14ac:dyDescent="0.3">
      <c r="A236" s="246" t="s">
        <v>145</v>
      </c>
      <c r="B236" s="246" t="s">
        <v>70</v>
      </c>
      <c r="C236" s="48" t="s">
        <v>47</v>
      </c>
      <c r="D236" s="135" t="s">
        <v>97</v>
      </c>
      <c r="E236" s="48" t="s">
        <v>98</v>
      </c>
      <c r="F236" s="48" t="s">
        <v>99</v>
      </c>
      <c r="G236" s="48" t="s">
        <v>22</v>
      </c>
      <c r="H236" s="48" t="s">
        <v>23</v>
      </c>
      <c r="I236" s="135" t="s">
        <v>100</v>
      </c>
      <c r="J236" s="136"/>
      <c r="K236" s="52"/>
      <c r="L236" s="48" t="s">
        <v>101</v>
      </c>
      <c r="M236" s="48" t="s">
        <v>0</v>
      </c>
    </row>
    <row r="237" spans="1:13" s="132" customFormat="1" ht="12" customHeight="1" x14ac:dyDescent="0.3">
      <c r="A237" s="137"/>
      <c r="B237" s="71" t="str">
        <f>IF(A237="","",VLOOKUP(A237,'Database Lab+Equip'!$A:$D,2,FALSE))</f>
        <v/>
      </c>
      <c r="C237" s="139"/>
      <c r="D237" s="268"/>
      <c r="E237" s="140">
        <f>IF(A237="",0,VLOOKUP(A237,'Database Lab+Equip'!$A:$D,3,FALSE))</f>
        <v>0</v>
      </c>
      <c r="F237" s="140">
        <f>IF(A237="",0,VLOOKUP(A237,'Database Lab+Equip'!$A:$D,4,FALSE))</f>
        <v>0</v>
      </c>
      <c r="G237" s="140">
        <f>IF(A237="",0,C237*D237*E237*E$233)</f>
        <v>0</v>
      </c>
      <c r="H237" s="140">
        <f>IF(A237="",0,C237*D237*F237*E$233)</f>
        <v>0</v>
      </c>
      <c r="I237" s="140">
        <f>(H237*$M$233)+H237</f>
        <v>0</v>
      </c>
      <c r="J237" s="154"/>
      <c r="K237" s="26"/>
      <c r="M237" s="84"/>
    </row>
    <row r="238" spans="1:13" s="132" customFormat="1" ht="12" customHeight="1" x14ac:dyDescent="0.3">
      <c r="A238" s="137"/>
      <c r="B238" s="71" t="str">
        <f>IF(A238="","",VLOOKUP(A238,'Database Lab+Equip'!$A:$D,2,FALSE))</f>
        <v/>
      </c>
      <c r="C238" s="142"/>
      <c r="D238" s="269"/>
      <c r="E238" s="140">
        <f>IF(A238="",0,VLOOKUP(A238,'Database Lab+Equip'!$A:$D,3,FALSE))</f>
        <v>0</v>
      </c>
      <c r="F238" s="140">
        <f>IF(A238="",0,VLOOKUP(A238,'Database Lab+Equip'!$A:$D,4,FALSE))</f>
        <v>0</v>
      </c>
      <c r="G238" s="140">
        <f>IF(A238="",0,C238*D238*E238*E$233)</f>
        <v>0</v>
      </c>
      <c r="H238" s="140">
        <f>IF(A238="",0,C238*D238*F238*E$233)</f>
        <v>0</v>
      </c>
      <c r="I238" s="140">
        <f>(H238*$M$233)+H238</f>
        <v>0</v>
      </c>
      <c r="J238" s="154"/>
      <c r="K238" s="26"/>
      <c r="M238" s="122"/>
    </row>
    <row r="239" spans="1:13" s="132" customFormat="1" ht="12" customHeight="1" x14ac:dyDescent="0.3">
      <c r="A239" s="137"/>
      <c r="B239" s="71" t="str">
        <f>IF(A239="","",VLOOKUP(A239,'Database Lab+Equip'!$A:$D,2,FALSE))</f>
        <v/>
      </c>
      <c r="C239" s="142"/>
      <c r="D239" s="269"/>
      <c r="E239" s="140">
        <f>IF(A239="",0,VLOOKUP(A239,'Database Lab+Equip'!$A:$D,3,FALSE))</f>
        <v>0</v>
      </c>
      <c r="F239" s="140">
        <f>IF(A239="",0,VLOOKUP(A239,'Database Lab+Equip'!$A:$D,4,FALSE))</f>
        <v>0</v>
      </c>
      <c r="G239" s="140">
        <f>IF(A239="",0,C239*D239*E239*E$233)</f>
        <v>0</v>
      </c>
      <c r="H239" s="140">
        <f>IF(A239="",0,C239*D239*F239*E$233)</f>
        <v>0</v>
      </c>
      <c r="I239" s="140">
        <f>(H239*$M$233)+H239</f>
        <v>0</v>
      </c>
      <c r="J239" s="154"/>
      <c r="K239" s="26"/>
      <c r="M239" s="122"/>
    </row>
    <row r="240" spans="1:13" s="132" customFormat="1" ht="12" customHeight="1" x14ac:dyDescent="0.3">
      <c r="A240" s="137"/>
      <c r="B240" s="71" t="str">
        <f>IF(A240="","",VLOOKUP(A240,'Database Lab+Equip'!$A:$D,2,FALSE))</f>
        <v/>
      </c>
      <c r="C240" s="142"/>
      <c r="D240" s="269"/>
      <c r="E240" s="140">
        <f>IF(A240="",0,VLOOKUP(A240,'Database Lab+Equip'!$A:$D,3,FALSE))</f>
        <v>0</v>
      </c>
      <c r="F240" s="140">
        <f>IF(A240="",0,VLOOKUP(A240,'Database Lab+Equip'!$A:$D,4,FALSE))</f>
        <v>0</v>
      </c>
      <c r="G240" s="140">
        <f>IF(A240="",0,C240*D240*E240*E$233)</f>
        <v>0</v>
      </c>
      <c r="H240" s="140">
        <f>IF(A240="",0,C240*D240*F240*E$233)</f>
        <v>0</v>
      </c>
      <c r="I240" s="140">
        <f>(H240*$M$233)+H240</f>
        <v>0</v>
      </c>
      <c r="J240" s="154"/>
      <c r="K240" s="26"/>
      <c r="M240" s="122"/>
    </row>
    <row r="241" spans="1:13" s="132" customFormat="1" ht="12" customHeight="1" x14ac:dyDescent="0.3">
      <c r="A241" s="137"/>
      <c r="B241" s="71" t="str">
        <f>IF(A241="","",VLOOKUP(A241,'Database Lab+Equip'!$A:$D,2,FALSE))</f>
        <v/>
      </c>
      <c r="C241" s="142"/>
      <c r="D241" s="269"/>
      <c r="E241" s="140">
        <f>IF(A241="",0,VLOOKUP(A241,'Database Lab+Equip'!$A:$D,3,FALSE))</f>
        <v>0</v>
      </c>
      <c r="F241" s="140">
        <f>IF(A241="",0,VLOOKUP(A241,'Database Lab+Equip'!$A:$D,4,FALSE))</f>
        <v>0</v>
      </c>
      <c r="G241" s="140">
        <f>IF(A241="",0,C241*D241*E241*E$233)</f>
        <v>0</v>
      </c>
      <c r="H241" s="140">
        <f>IF(A241="",0,C241*D241*F241*E$233)</f>
        <v>0</v>
      </c>
      <c r="I241" s="140">
        <f>(H241*$M$233)+H241</f>
        <v>0</v>
      </c>
      <c r="J241" s="152" t="s">
        <v>108</v>
      </c>
      <c r="K241" s="153" t="s">
        <v>109</v>
      </c>
      <c r="L241" s="31"/>
      <c r="M241" s="123">
        <f>SUM(I237:I241)-SUM(G237:G241)</f>
        <v>0</v>
      </c>
    </row>
    <row r="242" spans="1:13" s="132" customFormat="1" ht="12" customHeight="1" x14ac:dyDescent="0.3">
      <c r="A242" s="35"/>
      <c r="C242" s="140"/>
      <c r="D242" s="270"/>
      <c r="E242" s="140"/>
      <c r="F242" s="140"/>
      <c r="G242" s="21">
        <f>SUM(G237:G241)</f>
        <v>0</v>
      </c>
      <c r="H242" s="21">
        <f>SUM(H237:H241)</f>
        <v>0</v>
      </c>
      <c r="I242" s="21">
        <f>SUM(I237:I241)</f>
        <v>0</v>
      </c>
      <c r="J242" s="21">
        <f>G242</f>
        <v>0</v>
      </c>
      <c r="K242" s="34">
        <f>I242</f>
        <v>0</v>
      </c>
      <c r="L242" s="154">
        <f>IF(J242=0,0,(K242-J242)/J242)</f>
        <v>0</v>
      </c>
      <c r="M242" s="122"/>
    </row>
    <row r="243" spans="1:13" s="132" customFormat="1" ht="12" customHeight="1" x14ac:dyDescent="0.3">
      <c r="A243" s="35"/>
      <c r="B243" s="71"/>
      <c r="C243" s="122"/>
      <c r="D243" s="265"/>
      <c r="E243" s="122"/>
      <c r="F243" s="122"/>
      <c r="G243" s="122"/>
      <c r="H243" s="122"/>
      <c r="I243" s="144"/>
      <c r="J243" s="84"/>
      <c r="K243" s="29"/>
      <c r="L243" s="122"/>
      <c r="M243" s="122"/>
    </row>
    <row r="244" spans="1:13" s="132" customFormat="1" ht="41.4" x14ac:dyDescent="0.3">
      <c r="A244" s="246" t="s">
        <v>96</v>
      </c>
      <c r="B244" s="246" t="s">
        <v>80</v>
      </c>
      <c r="C244" s="48" t="s">
        <v>47</v>
      </c>
      <c r="D244" s="135" t="s">
        <v>110</v>
      </c>
      <c r="E244" s="48" t="s">
        <v>98</v>
      </c>
      <c r="F244" s="48" t="s">
        <v>99</v>
      </c>
      <c r="G244" s="48" t="s">
        <v>22</v>
      </c>
      <c r="H244" s="48" t="s">
        <v>23</v>
      </c>
      <c r="I244" s="135" t="s">
        <v>100</v>
      </c>
      <c r="J244" s="145"/>
      <c r="K244" s="48"/>
      <c r="L244" s="124"/>
      <c r="M244" s="124"/>
    </row>
    <row r="245" spans="1:13" s="132" customFormat="1" ht="12" customHeight="1" x14ac:dyDescent="0.3">
      <c r="A245" s="148"/>
      <c r="B245" s="71" t="str">
        <f>IF(A245="","",VLOOKUP(A245,'Database Lab+Equip'!$F:$I,2,FALSE))</f>
        <v/>
      </c>
      <c r="C245" s="139"/>
      <c r="D245" s="271"/>
      <c r="E245" s="140">
        <f>IF(A245="",0,VLOOKUP(A245,'Database Lab+Equip'!$F:$I,3,FALSE))</f>
        <v>0</v>
      </c>
      <c r="F245" s="140">
        <f>IF(A245="",0,VLOOKUP(A245,'Database Lab+Equip'!$F:$I,4,FALSE))</f>
        <v>0</v>
      </c>
      <c r="G245" s="140">
        <f>IF(A245="",0,C245*D245*E245*E$233)</f>
        <v>0</v>
      </c>
      <c r="H245" s="140">
        <f>IF(A245="",0,C245*D245*F245*E$233)</f>
        <v>0</v>
      </c>
      <c r="I245" s="140">
        <f>(H245*$M$234)+H245</f>
        <v>0</v>
      </c>
      <c r="J245" s="84"/>
      <c r="K245" s="29"/>
      <c r="L245" s="122"/>
      <c r="M245" s="84"/>
    </row>
    <row r="246" spans="1:13" s="132" customFormat="1" ht="12" customHeight="1" x14ac:dyDescent="0.3">
      <c r="A246" s="148"/>
      <c r="B246" s="71" t="str">
        <f>IF(A246="","",VLOOKUP(A246,'Database Lab+Equip'!$F:$I,2,FALSE))</f>
        <v/>
      </c>
      <c r="C246" s="142"/>
      <c r="D246" s="272"/>
      <c r="E246" s="140">
        <f>IF(A246="",0,VLOOKUP(A246,'Database Lab+Equip'!$F:$I,3,FALSE))</f>
        <v>0</v>
      </c>
      <c r="F246" s="140">
        <f>IF(A246="",0,VLOOKUP(A246,'Database Lab+Equip'!$F:$I,4,FALSE))</f>
        <v>0</v>
      </c>
      <c r="G246" s="140">
        <f t="shared" ref="G246:G252" si="21">IF(A246="",0,C246*D246*E246*E$233)</f>
        <v>0</v>
      </c>
      <c r="H246" s="140">
        <f t="shared" ref="H246:H252" si="22">IF(A246="",0,C246*D246*F246*E$233)</f>
        <v>0</v>
      </c>
      <c r="I246" s="140">
        <f t="shared" ref="I246:I252" si="23">(H246*$M$234)+H246</f>
        <v>0</v>
      </c>
      <c r="J246" s="122"/>
      <c r="K246" s="29"/>
      <c r="L246" s="122"/>
      <c r="M246" s="122"/>
    </row>
    <row r="247" spans="1:13" s="132" customFormat="1" ht="12" customHeight="1" x14ac:dyDescent="0.3">
      <c r="A247" s="148"/>
      <c r="B247" s="71" t="str">
        <f>IF(A247="","",VLOOKUP(A247,'Database Lab+Equip'!$F:$I,2,FALSE))</f>
        <v/>
      </c>
      <c r="C247" s="142"/>
      <c r="D247" s="272"/>
      <c r="E247" s="140">
        <f>IF(A247="",0,VLOOKUP(A247,'Database Lab+Equip'!$F:$I,3,FALSE))</f>
        <v>0</v>
      </c>
      <c r="F247" s="140">
        <f>IF(A247="",0,VLOOKUP(A247,'Database Lab+Equip'!$F:$I,4,FALSE))</f>
        <v>0</v>
      </c>
      <c r="G247" s="140">
        <f t="shared" si="21"/>
        <v>0</v>
      </c>
      <c r="H247" s="140">
        <f t="shared" si="22"/>
        <v>0</v>
      </c>
      <c r="I247" s="140">
        <f t="shared" si="23"/>
        <v>0</v>
      </c>
      <c r="J247" s="84"/>
      <c r="K247" s="29"/>
      <c r="L247" s="122"/>
      <c r="M247" s="122"/>
    </row>
    <row r="248" spans="1:13" s="132" customFormat="1" ht="12" customHeight="1" x14ac:dyDescent="0.3">
      <c r="A248" s="148"/>
      <c r="B248" s="71" t="str">
        <f>IF(A248="","",VLOOKUP(A248,'Database Lab+Equip'!$F:$I,2,FALSE))</f>
        <v/>
      </c>
      <c r="C248" s="142"/>
      <c r="D248" s="272"/>
      <c r="E248" s="140">
        <f>IF(A248="",0,VLOOKUP(A248,'Database Lab+Equip'!$F:$I,3,FALSE))</f>
        <v>0</v>
      </c>
      <c r="F248" s="140">
        <f>IF(A248="",0,VLOOKUP(A248,'Database Lab+Equip'!$F:$I,4,FALSE))</f>
        <v>0</v>
      </c>
      <c r="G248" s="140">
        <f t="shared" si="21"/>
        <v>0</v>
      </c>
      <c r="H248" s="140">
        <f t="shared" si="22"/>
        <v>0</v>
      </c>
      <c r="I248" s="140">
        <f t="shared" si="23"/>
        <v>0</v>
      </c>
      <c r="J248" s="84"/>
      <c r="K248" s="29"/>
      <c r="L248" s="122"/>
      <c r="M248" s="122"/>
    </row>
    <row r="249" spans="1:13" s="132" customFormat="1" ht="12" customHeight="1" x14ac:dyDescent="0.3">
      <c r="A249" s="148"/>
      <c r="B249" s="71" t="str">
        <f>IF(A249="","",VLOOKUP(A249,'Database Lab+Equip'!$F:$I,2,FALSE))</f>
        <v/>
      </c>
      <c r="C249" s="142"/>
      <c r="D249" s="272"/>
      <c r="E249" s="140">
        <f>IF(A249="",0,VLOOKUP(A249,'Database Lab+Equip'!$F:$I,3,FALSE))</f>
        <v>0</v>
      </c>
      <c r="F249" s="140">
        <f>IF(A249="",0,VLOOKUP(A249,'Database Lab+Equip'!$F:$I,4,FALSE))</f>
        <v>0</v>
      </c>
      <c r="G249" s="140">
        <f t="shared" si="21"/>
        <v>0</v>
      </c>
      <c r="H249" s="140">
        <f t="shared" si="22"/>
        <v>0</v>
      </c>
      <c r="I249" s="140">
        <f t="shared" si="23"/>
        <v>0</v>
      </c>
      <c r="J249" s="84"/>
      <c r="K249" s="29"/>
      <c r="L249" s="122"/>
      <c r="M249" s="122"/>
    </row>
    <row r="250" spans="1:13" s="132" customFormat="1" ht="12" customHeight="1" x14ac:dyDescent="0.3">
      <c r="A250" s="148"/>
      <c r="B250" s="71" t="str">
        <f>IF(A250="","",VLOOKUP(A250,'Database Lab+Equip'!$F:$I,2,FALSE))</f>
        <v/>
      </c>
      <c r="C250" s="142"/>
      <c r="D250" s="272"/>
      <c r="E250" s="140">
        <f>IF(A250="",0,VLOOKUP(A250,'Database Lab+Equip'!$F:$I,3,FALSE))</f>
        <v>0</v>
      </c>
      <c r="F250" s="140">
        <f>IF(A250="",0,VLOOKUP(A250,'Database Lab+Equip'!$F:$I,4,FALSE))</f>
        <v>0</v>
      </c>
      <c r="G250" s="140">
        <f t="shared" si="21"/>
        <v>0</v>
      </c>
      <c r="H250" s="140">
        <f t="shared" si="22"/>
        <v>0</v>
      </c>
      <c r="I250" s="140">
        <f t="shared" si="23"/>
        <v>0</v>
      </c>
      <c r="J250" s="84"/>
      <c r="K250" s="29"/>
      <c r="L250" s="122"/>
      <c r="M250" s="122"/>
    </row>
    <row r="251" spans="1:13" s="132" customFormat="1" ht="12" customHeight="1" x14ac:dyDescent="0.3">
      <c r="A251" s="148"/>
      <c r="B251" s="71" t="str">
        <f>IF(A251="","",VLOOKUP(A251,'Database Lab+Equip'!$F:$I,2,FALSE))</f>
        <v/>
      </c>
      <c r="C251" s="142"/>
      <c r="D251" s="272"/>
      <c r="E251" s="140">
        <f>IF(A251="",0,VLOOKUP(A251,'Database Lab+Equip'!$F:$I,3,FALSE))</f>
        <v>0</v>
      </c>
      <c r="F251" s="140">
        <f>IF(A251="",0,VLOOKUP(A251,'Database Lab+Equip'!$F:$I,4,FALSE))</f>
        <v>0</v>
      </c>
      <c r="G251" s="140">
        <f t="shared" si="21"/>
        <v>0</v>
      </c>
      <c r="H251" s="140">
        <f t="shared" si="22"/>
        <v>0</v>
      </c>
      <c r="I251" s="140">
        <f t="shared" si="23"/>
        <v>0</v>
      </c>
      <c r="J251" s="84"/>
      <c r="K251" s="29"/>
      <c r="L251" s="122"/>
      <c r="M251" s="122"/>
    </row>
    <row r="252" spans="1:13" s="132" customFormat="1" ht="12" customHeight="1" x14ac:dyDescent="0.3">
      <c r="A252" s="148"/>
      <c r="B252" s="71" t="str">
        <f>IF(A252="","",VLOOKUP(A252,'Database Lab+Equip'!$F:$I,2,FALSE))</f>
        <v/>
      </c>
      <c r="C252" s="150"/>
      <c r="D252" s="273"/>
      <c r="E252" s="140">
        <f>IF(A252="",0,VLOOKUP(A252,'Database Lab+Equip'!$F:$I,3,FALSE))</f>
        <v>0</v>
      </c>
      <c r="F252" s="140">
        <f>IF(A252="",0,VLOOKUP(A252,'Database Lab+Equip'!$F:$I,4,FALSE))</f>
        <v>0</v>
      </c>
      <c r="G252" s="140">
        <f t="shared" si="21"/>
        <v>0</v>
      </c>
      <c r="H252" s="140">
        <f t="shared" si="22"/>
        <v>0</v>
      </c>
      <c r="I252" s="140">
        <f t="shared" si="23"/>
        <v>0</v>
      </c>
      <c r="J252" s="152" t="s">
        <v>108</v>
      </c>
      <c r="K252" s="153" t="s">
        <v>109</v>
      </c>
      <c r="L252" s="31"/>
      <c r="M252" s="125">
        <f>SUM(I245:I252)-SUM(G245:G252)</f>
        <v>0</v>
      </c>
    </row>
    <row r="253" spans="1:13" s="132" customFormat="1" ht="12" customHeight="1" x14ac:dyDescent="0.3">
      <c r="A253" s="72"/>
      <c r="B253" s="143"/>
      <c r="C253" s="130"/>
      <c r="D253" s="265"/>
      <c r="E253" s="122"/>
      <c r="F253" s="122"/>
      <c r="G253" s="21">
        <f>SUM(G245:G252)</f>
        <v>0</v>
      </c>
      <c r="H253" s="21">
        <f>SUM(H245:H252)</f>
        <v>0</v>
      </c>
      <c r="I253" s="21">
        <f>SUM(I245:I252)</f>
        <v>0</v>
      </c>
      <c r="J253" s="21">
        <f>G253</f>
        <v>0</v>
      </c>
      <c r="K253" s="34">
        <f>I253</f>
        <v>0</v>
      </c>
      <c r="L253" s="154">
        <f>IF(J253=0,0,(K253-J253)/J253)</f>
        <v>0</v>
      </c>
      <c r="M253" s="187">
        <f>M241+M252</f>
        <v>0</v>
      </c>
    </row>
    <row r="254" spans="1:13" s="31" customFormat="1" ht="13.8" x14ac:dyDescent="0.3">
      <c r="A254" s="110"/>
      <c r="B254" s="115"/>
      <c r="C254" s="116"/>
      <c r="D254" s="274"/>
      <c r="E254" s="117"/>
      <c r="F254" s="117"/>
      <c r="G254" s="118"/>
      <c r="H254" s="110"/>
      <c r="I254" s="161"/>
      <c r="J254" s="162">
        <f>J242+J253</f>
        <v>0</v>
      </c>
      <c r="K254" s="162">
        <f>K242+K253</f>
        <v>0</v>
      </c>
      <c r="L254" s="119">
        <f>IF(J254=0,0,(K254-J254)/K254)</f>
        <v>0</v>
      </c>
      <c r="M254" s="173"/>
    </row>
    <row r="255" spans="1:13" s="31" customFormat="1" ht="13.8" x14ac:dyDescent="0.3">
      <c r="A255" s="112"/>
      <c r="B255" s="223"/>
      <c r="C255" s="214"/>
      <c r="D255" s="275"/>
      <c r="E255" s="215"/>
      <c r="F255" s="215"/>
      <c r="G255" s="216"/>
      <c r="H255" s="112"/>
      <c r="I255" s="217"/>
      <c r="J255" s="218"/>
      <c r="K255" s="218"/>
      <c r="L255" s="212"/>
      <c r="M255" s="213"/>
    </row>
    <row r="256" spans="1:13" ht="15.6" x14ac:dyDescent="0.3">
      <c r="B256" s="241" t="s">
        <v>174</v>
      </c>
      <c r="C256" s="129"/>
      <c r="D256" s="129"/>
      <c r="E256" s="129"/>
      <c r="F256" s="129"/>
      <c r="H256" s="132"/>
      <c r="I256" s="132"/>
      <c r="L256" s="221" t="s">
        <v>85</v>
      </c>
      <c r="M256" s="222"/>
    </row>
    <row r="257" spans="1:13" s="132" customFormat="1" ht="12" customHeight="1" x14ac:dyDescent="0.3">
      <c r="A257" s="72"/>
      <c r="B257" s="24" t="s">
        <v>135</v>
      </c>
      <c r="C257" s="22"/>
      <c r="D257" s="266" t="s">
        <v>87</v>
      </c>
      <c r="E257" s="23"/>
      <c r="F257" s="133"/>
      <c r="H257" s="14"/>
      <c r="I257" s="14"/>
      <c r="J257" s="14"/>
      <c r="K257" s="14"/>
      <c r="L257" s="219" t="s">
        <v>88</v>
      </c>
      <c r="M257" s="220"/>
    </row>
    <row r="258" spans="1:13" s="132" customFormat="1" ht="12" customHeight="1" x14ac:dyDescent="0.3">
      <c r="A258" s="72"/>
      <c r="B258" s="24" t="s">
        <v>141</v>
      </c>
      <c r="C258" s="25"/>
      <c r="D258" s="266" t="s">
        <v>89</v>
      </c>
      <c r="E258" s="23"/>
      <c r="K258" s="14"/>
      <c r="L258" s="126" t="s">
        <v>90</v>
      </c>
      <c r="M258" s="127"/>
    </row>
    <row r="259" spans="1:13" s="132" customFormat="1" ht="12" customHeight="1" x14ac:dyDescent="0.3">
      <c r="A259" s="72"/>
      <c r="B259" s="24" t="s">
        <v>142</v>
      </c>
      <c r="C259" s="27" t="str">
        <f>IF(C257="","",IF(E259="","",C257/E259+C258))</f>
        <v/>
      </c>
      <c r="D259" s="266" t="s">
        <v>91</v>
      </c>
      <c r="E259" s="23"/>
      <c r="I259" s="26"/>
      <c r="J259" s="26"/>
      <c r="K259" s="14"/>
      <c r="L259" s="126" t="s">
        <v>92</v>
      </c>
      <c r="M259" s="127"/>
    </row>
    <row r="260" spans="1:13" s="132" customFormat="1" ht="12" customHeight="1" x14ac:dyDescent="0.3">
      <c r="A260" s="72"/>
      <c r="B260" s="59" t="s">
        <v>143</v>
      </c>
      <c r="C260" s="260"/>
      <c r="D260" s="266" t="s">
        <v>25</v>
      </c>
      <c r="E260" s="128">
        <f>SUM(C265:C269)</f>
        <v>0</v>
      </c>
      <c r="I260" s="26"/>
      <c r="J260" s="26"/>
      <c r="K260" s="14"/>
      <c r="L260" s="93" t="s">
        <v>94</v>
      </c>
      <c r="M260" s="94"/>
    </row>
    <row r="261" spans="1:13" s="132" customFormat="1" ht="12" customHeight="1" x14ac:dyDescent="0.3">
      <c r="A261" s="72"/>
      <c r="B261" s="59" t="s">
        <v>144</v>
      </c>
      <c r="C261" s="25"/>
      <c r="D261" s="266" t="s">
        <v>44</v>
      </c>
      <c r="E261" s="244">
        <f>IF(E260=0,0,(C259/C260)/C261)</f>
        <v>0</v>
      </c>
      <c r="I261" s="26"/>
      <c r="J261" s="26"/>
      <c r="K261" s="14"/>
      <c r="L261" s="57" t="s">
        <v>70</v>
      </c>
      <c r="M261" s="58">
        <f>M9</f>
        <v>0.05</v>
      </c>
    </row>
    <row r="262" spans="1:13" s="132" customFormat="1" ht="12" customHeight="1" x14ac:dyDescent="0.3">
      <c r="A262" s="72"/>
      <c r="B262" s="28"/>
      <c r="C262" s="122"/>
      <c r="D262" s="267"/>
      <c r="E262" s="211"/>
      <c r="I262" s="26"/>
      <c r="J262" s="26"/>
      <c r="K262" s="14"/>
      <c r="L262" s="57" t="s">
        <v>80</v>
      </c>
      <c r="M262" s="58">
        <f>M10</f>
        <v>0.05</v>
      </c>
    </row>
    <row r="263" spans="1:13" s="132" customFormat="1" ht="12" customHeight="1" x14ac:dyDescent="0.3">
      <c r="A263" s="72"/>
      <c r="B263" s="28"/>
      <c r="C263" s="28"/>
      <c r="D263" s="43"/>
      <c r="H263" s="29"/>
      <c r="I263" s="29"/>
      <c r="J263" s="29"/>
      <c r="K263" s="29"/>
      <c r="M263" s="71"/>
    </row>
    <row r="264" spans="1:13" s="132" customFormat="1" ht="27.6" x14ac:dyDescent="0.3">
      <c r="A264" s="246" t="s">
        <v>145</v>
      </c>
      <c r="B264" s="246" t="s">
        <v>70</v>
      </c>
      <c r="C264" s="48" t="s">
        <v>47</v>
      </c>
      <c r="D264" s="135" t="s">
        <v>97</v>
      </c>
      <c r="E264" s="48" t="s">
        <v>98</v>
      </c>
      <c r="F264" s="48" t="s">
        <v>99</v>
      </c>
      <c r="G264" s="48" t="s">
        <v>22</v>
      </c>
      <c r="H264" s="48" t="s">
        <v>23</v>
      </c>
      <c r="I264" s="135" t="s">
        <v>100</v>
      </c>
      <c r="J264" s="136"/>
      <c r="K264" s="52"/>
      <c r="L264" s="48" t="s">
        <v>101</v>
      </c>
      <c r="M264" s="48" t="s">
        <v>0</v>
      </c>
    </row>
    <row r="265" spans="1:13" s="132" customFormat="1" ht="12" customHeight="1" x14ac:dyDescent="0.3">
      <c r="A265" s="137"/>
      <c r="B265" s="71" t="str">
        <f>IF(A265="","",VLOOKUP(A265,'Database Lab+Equip'!$A:$D,2,FALSE))</f>
        <v/>
      </c>
      <c r="C265" s="139"/>
      <c r="D265" s="268"/>
      <c r="E265" s="140">
        <f>IF(A265="",0,VLOOKUP(A265,'Database Lab+Equip'!$A:$D,3,FALSE))</f>
        <v>0</v>
      </c>
      <c r="F265" s="140">
        <f>IF(A265="",0,VLOOKUP(A265,'Database Lab+Equip'!$A:$D,4,FALSE))</f>
        <v>0</v>
      </c>
      <c r="G265" s="140">
        <f>IF(A265="",0,C265*D265*E265*E$261)</f>
        <v>0</v>
      </c>
      <c r="H265" s="140">
        <f>IF(A265="",0,C265*D265*F265*E$261)</f>
        <v>0</v>
      </c>
      <c r="I265" s="140">
        <f>(H265*$M$261)+H265</f>
        <v>0</v>
      </c>
      <c r="J265" s="154"/>
      <c r="K265" s="26"/>
      <c r="M265" s="84"/>
    </row>
    <row r="266" spans="1:13" s="132" customFormat="1" ht="12" customHeight="1" x14ac:dyDescent="0.3">
      <c r="A266" s="137"/>
      <c r="B266" s="71" t="str">
        <f>IF(A266="","",VLOOKUP(A266,'Database Lab+Equip'!$A:$D,2,FALSE))</f>
        <v/>
      </c>
      <c r="C266" s="142"/>
      <c r="D266" s="269"/>
      <c r="E266" s="140">
        <f>IF(A266="",0,VLOOKUP(A266,'Database Lab+Equip'!$A:$D,3,FALSE))</f>
        <v>0</v>
      </c>
      <c r="F266" s="140">
        <f>IF(A266="",0,VLOOKUP(A266,'Database Lab+Equip'!$A:$D,4,FALSE))</f>
        <v>0</v>
      </c>
      <c r="G266" s="140">
        <f>IF(A266="",0,C266*D266*E266*E$261)</f>
        <v>0</v>
      </c>
      <c r="H266" s="140">
        <f>IF(A266="",0,C266*D266*F266*E$261)</f>
        <v>0</v>
      </c>
      <c r="I266" s="140">
        <f>(H266*$M$261)+H266</f>
        <v>0</v>
      </c>
      <c r="J266" s="154"/>
      <c r="K266" s="26"/>
      <c r="M266" s="122"/>
    </row>
    <row r="267" spans="1:13" s="132" customFormat="1" ht="12" customHeight="1" x14ac:dyDescent="0.3">
      <c r="A267" s="137"/>
      <c r="B267" s="71" t="str">
        <f>IF(A267="","",VLOOKUP(A267,'Database Lab+Equip'!$A:$D,2,FALSE))</f>
        <v/>
      </c>
      <c r="C267" s="142"/>
      <c r="D267" s="269"/>
      <c r="E267" s="140">
        <f>IF(A267="",0,VLOOKUP(A267,'Database Lab+Equip'!$A:$D,3,FALSE))</f>
        <v>0</v>
      </c>
      <c r="F267" s="140">
        <f>IF(A267="",0,VLOOKUP(A267,'Database Lab+Equip'!$A:$D,4,FALSE))</f>
        <v>0</v>
      </c>
      <c r="G267" s="140">
        <f>IF(A267="",0,C267*D267*E267*E$261)</f>
        <v>0</v>
      </c>
      <c r="H267" s="140">
        <f>IF(A267="",0,C267*D267*F267*E$261)</f>
        <v>0</v>
      </c>
      <c r="I267" s="140">
        <f>(H267*$M$261)+H267</f>
        <v>0</v>
      </c>
      <c r="J267" s="154"/>
      <c r="K267" s="26"/>
      <c r="M267" s="122"/>
    </row>
    <row r="268" spans="1:13" s="132" customFormat="1" ht="12" customHeight="1" x14ac:dyDescent="0.3">
      <c r="A268" s="137"/>
      <c r="B268" s="71" t="str">
        <f>IF(A268="","",VLOOKUP(A268,'Database Lab+Equip'!$A:$D,2,FALSE))</f>
        <v/>
      </c>
      <c r="C268" s="142"/>
      <c r="D268" s="269"/>
      <c r="E268" s="140">
        <f>IF(A268="",0,VLOOKUP(A268,'Database Lab+Equip'!$A:$D,3,FALSE))</f>
        <v>0</v>
      </c>
      <c r="F268" s="140">
        <f>IF(A268="",0,VLOOKUP(A268,'Database Lab+Equip'!$A:$D,4,FALSE))</f>
        <v>0</v>
      </c>
      <c r="G268" s="140">
        <f>IF(A268="",0,C268*D268*E268*E$261)</f>
        <v>0</v>
      </c>
      <c r="H268" s="140">
        <f>IF(A268="",0,C268*D268*F268*E$261)</f>
        <v>0</v>
      </c>
      <c r="I268" s="140">
        <f>(H268*$M$261)+H268</f>
        <v>0</v>
      </c>
      <c r="J268" s="154"/>
      <c r="K268" s="26"/>
      <c r="M268" s="122"/>
    </row>
    <row r="269" spans="1:13" s="132" customFormat="1" ht="12" customHeight="1" x14ac:dyDescent="0.3">
      <c r="A269" s="137"/>
      <c r="B269" s="71" t="str">
        <f>IF(A269="","",VLOOKUP(A269,'Database Lab+Equip'!$A:$D,2,FALSE))</f>
        <v/>
      </c>
      <c r="C269" s="142"/>
      <c r="D269" s="269"/>
      <c r="E269" s="140">
        <f>IF(A269="",0,VLOOKUP(A269,'Database Lab+Equip'!$A:$D,3,FALSE))</f>
        <v>0</v>
      </c>
      <c r="F269" s="140">
        <f>IF(A269="",0,VLOOKUP(A269,'Database Lab+Equip'!$A:$D,4,FALSE))</f>
        <v>0</v>
      </c>
      <c r="G269" s="140">
        <f>IF(A269="",0,C269*D269*E269*E$261)</f>
        <v>0</v>
      </c>
      <c r="H269" s="140">
        <f>IF(A269="",0,C269*D269*F269*E$261)</f>
        <v>0</v>
      </c>
      <c r="I269" s="140">
        <f>(H269*$M$261)+H269</f>
        <v>0</v>
      </c>
      <c r="J269" s="152" t="s">
        <v>108</v>
      </c>
      <c r="K269" s="153" t="s">
        <v>109</v>
      </c>
      <c r="L269" s="31"/>
      <c r="M269" s="123">
        <f>SUM(I265:I269)-SUM(G265:G269)</f>
        <v>0</v>
      </c>
    </row>
    <row r="270" spans="1:13" s="132" customFormat="1" ht="12" customHeight="1" x14ac:dyDescent="0.3">
      <c r="A270" s="35"/>
      <c r="C270" s="140"/>
      <c r="D270" s="270"/>
      <c r="E270" s="140"/>
      <c r="F270" s="140"/>
      <c r="G270" s="21">
        <f>SUM(G265:G269)</f>
        <v>0</v>
      </c>
      <c r="H270" s="21">
        <f>SUM(H265:H269)</f>
        <v>0</v>
      </c>
      <c r="I270" s="21">
        <f>SUM(I265:I269)</f>
        <v>0</v>
      </c>
      <c r="J270" s="21">
        <f>G270</f>
        <v>0</v>
      </c>
      <c r="K270" s="34">
        <f>I270</f>
        <v>0</v>
      </c>
      <c r="L270" s="154">
        <f>IF(J270=0,0,(K270-J270)/J270)</f>
        <v>0</v>
      </c>
      <c r="M270" s="122"/>
    </row>
    <row r="271" spans="1:13" s="132" customFormat="1" ht="12" customHeight="1" x14ac:dyDescent="0.3">
      <c r="A271" s="35"/>
      <c r="B271" s="71"/>
      <c r="C271" s="122"/>
      <c r="D271" s="265"/>
      <c r="E271" s="122"/>
      <c r="F271" s="122"/>
      <c r="G271" s="122"/>
      <c r="H271" s="122"/>
      <c r="I271" s="144"/>
      <c r="J271" s="84"/>
      <c r="K271" s="29"/>
      <c r="L271" s="122"/>
      <c r="M271" s="122"/>
    </row>
    <row r="272" spans="1:13" s="132" customFormat="1" ht="41.4" x14ac:dyDescent="0.3">
      <c r="A272" s="246" t="s">
        <v>96</v>
      </c>
      <c r="B272" s="246" t="s">
        <v>80</v>
      </c>
      <c r="C272" s="48" t="s">
        <v>47</v>
      </c>
      <c r="D272" s="135" t="s">
        <v>110</v>
      </c>
      <c r="E272" s="48" t="s">
        <v>98</v>
      </c>
      <c r="F272" s="48" t="s">
        <v>99</v>
      </c>
      <c r="G272" s="48" t="s">
        <v>22</v>
      </c>
      <c r="H272" s="48" t="s">
        <v>23</v>
      </c>
      <c r="I272" s="135" t="s">
        <v>100</v>
      </c>
      <c r="J272" s="145"/>
      <c r="K272" s="48"/>
      <c r="L272" s="124"/>
      <c r="M272" s="124"/>
    </row>
    <row r="273" spans="1:13" s="132" customFormat="1" ht="12" customHeight="1" x14ac:dyDescent="0.3">
      <c r="A273" s="148"/>
      <c r="B273" s="71" t="str">
        <f>IF(A273="","",VLOOKUP(A273,'Database Lab+Equip'!$F:$I,2,FALSE))</f>
        <v/>
      </c>
      <c r="C273" s="139"/>
      <c r="D273" s="271"/>
      <c r="E273" s="140">
        <f>IF(A273="",0,VLOOKUP(A273,'Database Lab+Equip'!$F:$I,3,FALSE))</f>
        <v>0</v>
      </c>
      <c r="F273" s="140">
        <f>IF(A273="",0,VLOOKUP(A273,'Database Lab+Equip'!$F:$I,4,FALSE))</f>
        <v>0</v>
      </c>
      <c r="G273" s="140">
        <f>IF(A273="",0,C273*D273*E273*E$261)</f>
        <v>0</v>
      </c>
      <c r="H273" s="140">
        <f>IF(A273="",0,C273*D273*F273*E$261)</f>
        <v>0</v>
      </c>
      <c r="I273" s="140">
        <f>(H273*$M$262)+H273</f>
        <v>0</v>
      </c>
      <c r="J273" s="84"/>
      <c r="K273" s="29"/>
      <c r="L273" s="122"/>
      <c r="M273" s="84"/>
    </row>
    <row r="274" spans="1:13" s="132" customFormat="1" ht="12" customHeight="1" x14ac:dyDescent="0.3">
      <c r="A274" s="148"/>
      <c r="B274" s="71" t="str">
        <f>IF(A274="","",VLOOKUP(A274,'Database Lab+Equip'!$F:$I,2,FALSE))</f>
        <v/>
      </c>
      <c r="C274" s="142"/>
      <c r="D274" s="272"/>
      <c r="E274" s="140">
        <f>IF(A274="",0,VLOOKUP(A274,'Database Lab+Equip'!$F:$I,3,FALSE))</f>
        <v>0</v>
      </c>
      <c r="F274" s="140">
        <f>IF(A274="",0,VLOOKUP(A274,'Database Lab+Equip'!$F:$I,4,FALSE))</f>
        <v>0</v>
      </c>
      <c r="G274" s="140">
        <f t="shared" ref="G274:G280" si="24">IF(A274="",0,C274*D274*E274*E$261)</f>
        <v>0</v>
      </c>
      <c r="H274" s="140">
        <f t="shared" ref="H274:H280" si="25">IF(A274="",0,C274*D274*F274*E$261)</f>
        <v>0</v>
      </c>
      <c r="I274" s="140">
        <f t="shared" ref="I274:I280" si="26">(H274*$M$262)+H274</f>
        <v>0</v>
      </c>
      <c r="J274" s="122"/>
      <c r="K274" s="29"/>
      <c r="L274" s="122"/>
      <c r="M274" s="122"/>
    </row>
    <row r="275" spans="1:13" s="132" customFormat="1" ht="12" customHeight="1" x14ac:dyDescent="0.3">
      <c r="A275" s="148"/>
      <c r="B275" s="71" t="str">
        <f>IF(A275="","",VLOOKUP(A275,'Database Lab+Equip'!$F:$I,2,FALSE))</f>
        <v/>
      </c>
      <c r="C275" s="142"/>
      <c r="D275" s="272"/>
      <c r="E275" s="140">
        <f>IF(A275="",0,VLOOKUP(A275,'Database Lab+Equip'!$F:$I,3,FALSE))</f>
        <v>0</v>
      </c>
      <c r="F275" s="140">
        <f>IF(A275="",0,VLOOKUP(A275,'Database Lab+Equip'!$F:$I,4,FALSE))</f>
        <v>0</v>
      </c>
      <c r="G275" s="140">
        <f t="shared" si="24"/>
        <v>0</v>
      </c>
      <c r="H275" s="140">
        <f t="shared" si="25"/>
        <v>0</v>
      </c>
      <c r="I275" s="140">
        <f t="shared" si="26"/>
        <v>0</v>
      </c>
      <c r="J275" s="84"/>
      <c r="K275" s="29"/>
      <c r="L275" s="122"/>
      <c r="M275" s="122"/>
    </row>
    <row r="276" spans="1:13" s="132" customFormat="1" ht="12" customHeight="1" x14ac:dyDescent="0.3">
      <c r="A276" s="148"/>
      <c r="B276" s="71" t="str">
        <f>IF(A276="","",VLOOKUP(A276,'Database Lab+Equip'!$F:$I,2,FALSE))</f>
        <v/>
      </c>
      <c r="C276" s="142"/>
      <c r="D276" s="272"/>
      <c r="E276" s="140">
        <f>IF(A276="",0,VLOOKUP(A276,'Database Lab+Equip'!$F:$I,3,FALSE))</f>
        <v>0</v>
      </c>
      <c r="F276" s="140">
        <f>IF(A276="",0,VLOOKUP(A276,'Database Lab+Equip'!$F:$I,4,FALSE))</f>
        <v>0</v>
      </c>
      <c r="G276" s="140">
        <f t="shared" si="24"/>
        <v>0</v>
      </c>
      <c r="H276" s="140">
        <f t="shared" si="25"/>
        <v>0</v>
      </c>
      <c r="I276" s="140">
        <f t="shared" si="26"/>
        <v>0</v>
      </c>
      <c r="J276" s="84"/>
      <c r="K276" s="29"/>
      <c r="L276" s="122"/>
      <c r="M276" s="122"/>
    </row>
    <row r="277" spans="1:13" s="132" customFormat="1" ht="12" customHeight="1" x14ac:dyDescent="0.3">
      <c r="A277" s="148"/>
      <c r="B277" s="71" t="str">
        <f>IF(A277="","",VLOOKUP(A277,'Database Lab+Equip'!$F:$I,2,FALSE))</f>
        <v/>
      </c>
      <c r="C277" s="142"/>
      <c r="D277" s="272"/>
      <c r="E277" s="140">
        <f>IF(A277="",0,VLOOKUP(A277,'Database Lab+Equip'!$F:$I,3,FALSE))</f>
        <v>0</v>
      </c>
      <c r="F277" s="140">
        <f>IF(A277="",0,VLOOKUP(A277,'Database Lab+Equip'!$F:$I,4,FALSE))</f>
        <v>0</v>
      </c>
      <c r="G277" s="140">
        <f t="shared" si="24"/>
        <v>0</v>
      </c>
      <c r="H277" s="140">
        <f t="shared" si="25"/>
        <v>0</v>
      </c>
      <c r="I277" s="140">
        <f t="shared" si="26"/>
        <v>0</v>
      </c>
      <c r="J277" s="84"/>
      <c r="K277" s="29"/>
      <c r="L277" s="122"/>
      <c r="M277" s="122"/>
    </row>
    <row r="278" spans="1:13" s="132" customFormat="1" ht="12" customHeight="1" x14ac:dyDescent="0.3">
      <c r="A278" s="148"/>
      <c r="B278" s="71" t="str">
        <f>IF(A278="","",VLOOKUP(A278,'Database Lab+Equip'!$F:$I,2,FALSE))</f>
        <v/>
      </c>
      <c r="C278" s="142"/>
      <c r="D278" s="272"/>
      <c r="E278" s="140">
        <f>IF(A278="",0,VLOOKUP(A278,'Database Lab+Equip'!$F:$I,3,FALSE))</f>
        <v>0</v>
      </c>
      <c r="F278" s="140">
        <f>IF(A278="",0,VLOOKUP(A278,'Database Lab+Equip'!$F:$I,4,FALSE))</f>
        <v>0</v>
      </c>
      <c r="G278" s="140">
        <f t="shared" si="24"/>
        <v>0</v>
      </c>
      <c r="H278" s="140">
        <f t="shared" si="25"/>
        <v>0</v>
      </c>
      <c r="I278" s="140">
        <f t="shared" si="26"/>
        <v>0</v>
      </c>
      <c r="J278" s="84"/>
      <c r="K278" s="29"/>
      <c r="L278" s="122"/>
      <c r="M278" s="122"/>
    </row>
    <row r="279" spans="1:13" s="132" customFormat="1" ht="12" customHeight="1" x14ac:dyDescent="0.3">
      <c r="A279" s="148"/>
      <c r="B279" s="71" t="str">
        <f>IF(A279="","",VLOOKUP(A279,'Database Lab+Equip'!$F:$I,2,FALSE))</f>
        <v/>
      </c>
      <c r="C279" s="142"/>
      <c r="D279" s="272"/>
      <c r="E279" s="140">
        <f>IF(A279="",0,VLOOKUP(A279,'Database Lab+Equip'!$F:$I,3,FALSE))</f>
        <v>0</v>
      </c>
      <c r="F279" s="140">
        <f>IF(A279="",0,VLOOKUP(A279,'Database Lab+Equip'!$F:$I,4,FALSE))</f>
        <v>0</v>
      </c>
      <c r="G279" s="140">
        <f t="shared" si="24"/>
        <v>0</v>
      </c>
      <c r="H279" s="140">
        <f t="shared" si="25"/>
        <v>0</v>
      </c>
      <c r="I279" s="140">
        <f t="shared" si="26"/>
        <v>0</v>
      </c>
      <c r="J279" s="84"/>
      <c r="K279" s="29"/>
      <c r="L279" s="122"/>
      <c r="M279" s="122"/>
    </row>
    <row r="280" spans="1:13" s="132" customFormat="1" ht="12" customHeight="1" x14ac:dyDescent="0.3">
      <c r="A280" s="148"/>
      <c r="B280" s="71" t="str">
        <f>IF(A280="","",VLOOKUP(A280,'Database Lab+Equip'!$F:$I,2,FALSE))</f>
        <v/>
      </c>
      <c r="C280" s="150"/>
      <c r="D280" s="273"/>
      <c r="E280" s="140">
        <f>IF(A280="",0,VLOOKUP(A280,'Database Lab+Equip'!$F:$I,3,FALSE))</f>
        <v>0</v>
      </c>
      <c r="F280" s="140">
        <f>IF(A280="",0,VLOOKUP(A280,'Database Lab+Equip'!$F:$I,4,FALSE))</f>
        <v>0</v>
      </c>
      <c r="G280" s="140">
        <f t="shared" si="24"/>
        <v>0</v>
      </c>
      <c r="H280" s="140">
        <f t="shared" si="25"/>
        <v>0</v>
      </c>
      <c r="I280" s="140">
        <f t="shared" si="26"/>
        <v>0</v>
      </c>
      <c r="J280" s="152" t="s">
        <v>108</v>
      </c>
      <c r="K280" s="153" t="s">
        <v>109</v>
      </c>
      <c r="L280" s="31"/>
      <c r="M280" s="125">
        <f>SUM(I273:I280)-SUM(G273:G280)</f>
        <v>0</v>
      </c>
    </row>
    <row r="281" spans="1:13" s="132" customFormat="1" ht="12" customHeight="1" x14ac:dyDescent="0.3">
      <c r="A281" s="72"/>
      <c r="B281" s="143"/>
      <c r="C281" s="130"/>
      <c r="D281" s="265"/>
      <c r="E281" s="122"/>
      <c r="F281" s="122"/>
      <c r="G281" s="21">
        <f>SUM(G273:G280)</f>
        <v>0</v>
      </c>
      <c r="H281" s="21">
        <f>SUM(H273:H280)</f>
        <v>0</v>
      </c>
      <c r="I281" s="21">
        <f>SUM(I273:I280)</f>
        <v>0</v>
      </c>
      <c r="J281" s="21">
        <f>G281</f>
        <v>0</v>
      </c>
      <c r="K281" s="34">
        <f>I281</f>
        <v>0</v>
      </c>
      <c r="L281" s="154">
        <f>IF(J281=0,0,(K281-J281)/J281)</f>
        <v>0</v>
      </c>
      <c r="M281" s="187">
        <f>M269+M280</f>
        <v>0</v>
      </c>
    </row>
    <row r="282" spans="1:13" s="31" customFormat="1" ht="13.8" x14ac:dyDescent="0.3">
      <c r="A282" s="110"/>
      <c r="B282" s="115"/>
      <c r="C282" s="116"/>
      <c r="D282" s="274"/>
      <c r="E282" s="117"/>
      <c r="F282" s="117"/>
      <c r="G282" s="118"/>
      <c r="H282" s="110"/>
      <c r="I282" s="161"/>
      <c r="J282" s="162">
        <f>J270+J281</f>
        <v>0</v>
      </c>
      <c r="K282" s="162">
        <f>K270+K281</f>
        <v>0</v>
      </c>
      <c r="L282" s="119">
        <f>IF(J282=0,0,(K282-J282)/K282)</f>
        <v>0</v>
      </c>
      <c r="M282" s="173"/>
    </row>
    <row r="283" spans="1:13" s="31" customFormat="1" ht="13.8" x14ac:dyDescent="0.3">
      <c r="A283" s="112"/>
      <c r="B283" s="223"/>
      <c r="C283" s="214"/>
      <c r="D283" s="275"/>
      <c r="E283" s="215"/>
      <c r="F283" s="215"/>
      <c r="G283" s="216"/>
      <c r="H283" s="112"/>
      <c r="I283" s="217"/>
      <c r="J283" s="218"/>
      <c r="K283" s="218"/>
      <c r="L283" s="212"/>
      <c r="M283" s="213"/>
    </row>
    <row r="284" spans="1:13" ht="15.6" x14ac:dyDescent="0.3">
      <c r="B284" s="241" t="s">
        <v>175</v>
      </c>
      <c r="C284" s="129"/>
      <c r="D284" s="129"/>
      <c r="E284" s="129"/>
      <c r="F284" s="129"/>
      <c r="H284" s="132"/>
      <c r="I284" s="132"/>
      <c r="L284" s="221" t="s">
        <v>85</v>
      </c>
      <c r="M284" s="222"/>
    </row>
    <row r="285" spans="1:13" s="132" customFormat="1" ht="12" customHeight="1" x14ac:dyDescent="0.3">
      <c r="A285" s="72"/>
      <c r="B285" s="24" t="s">
        <v>135</v>
      </c>
      <c r="C285" s="22"/>
      <c r="D285" s="266" t="s">
        <v>87</v>
      </c>
      <c r="E285" s="23"/>
      <c r="F285" s="133"/>
      <c r="H285" s="14"/>
      <c r="I285" s="14"/>
      <c r="J285" s="14"/>
      <c r="K285" s="14"/>
      <c r="L285" s="219" t="s">
        <v>88</v>
      </c>
      <c r="M285" s="220"/>
    </row>
    <row r="286" spans="1:13" s="132" customFormat="1" ht="12" customHeight="1" x14ac:dyDescent="0.3">
      <c r="A286" s="72"/>
      <c r="B286" s="24" t="s">
        <v>141</v>
      </c>
      <c r="C286" s="25"/>
      <c r="D286" s="266" t="s">
        <v>89</v>
      </c>
      <c r="E286" s="23"/>
      <c r="K286" s="14"/>
      <c r="L286" s="126" t="s">
        <v>90</v>
      </c>
      <c r="M286" s="127"/>
    </row>
    <row r="287" spans="1:13" s="132" customFormat="1" ht="12" customHeight="1" x14ac:dyDescent="0.3">
      <c r="A287" s="72"/>
      <c r="B287" s="24" t="s">
        <v>142</v>
      </c>
      <c r="C287" s="27" t="str">
        <f>IF(C285="","",IF(E287="","",C285/E287+C286))</f>
        <v/>
      </c>
      <c r="D287" s="266" t="s">
        <v>91</v>
      </c>
      <c r="E287" s="23"/>
      <c r="I287" s="26"/>
      <c r="J287" s="26"/>
      <c r="K287" s="14"/>
      <c r="L287" s="126" t="s">
        <v>92</v>
      </c>
      <c r="M287" s="127"/>
    </row>
    <row r="288" spans="1:13" s="132" customFormat="1" ht="12" customHeight="1" x14ac:dyDescent="0.3">
      <c r="A288" s="72"/>
      <c r="B288" s="59" t="s">
        <v>143</v>
      </c>
      <c r="C288" s="260"/>
      <c r="D288" s="266" t="s">
        <v>25</v>
      </c>
      <c r="E288" s="128">
        <f>SUM(C293:C297)</f>
        <v>0</v>
      </c>
      <c r="I288" s="26"/>
      <c r="J288" s="26"/>
      <c r="K288" s="14"/>
      <c r="L288" s="93" t="s">
        <v>94</v>
      </c>
      <c r="M288" s="94"/>
    </row>
    <row r="289" spans="1:13" s="132" customFormat="1" ht="12" customHeight="1" x14ac:dyDescent="0.3">
      <c r="A289" s="72"/>
      <c r="B289" s="59" t="s">
        <v>144</v>
      </c>
      <c r="C289" s="25"/>
      <c r="D289" s="266" t="s">
        <v>44</v>
      </c>
      <c r="E289" s="244">
        <f>IF(E288=0,0,(C287/C288)/C289)</f>
        <v>0</v>
      </c>
      <c r="I289" s="26"/>
      <c r="J289" s="26"/>
      <c r="K289" s="14"/>
      <c r="L289" s="57" t="s">
        <v>70</v>
      </c>
      <c r="M289" s="58">
        <f>M9</f>
        <v>0.05</v>
      </c>
    </row>
    <row r="290" spans="1:13" s="132" customFormat="1" ht="12" customHeight="1" x14ac:dyDescent="0.3">
      <c r="A290" s="72"/>
      <c r="B290" s="28"/>
      <c r="C290" s="122"/>
      <c r="D290" s="267"/>
      <c r="E290" s="211"/>
      <c r="I290" s="26"/>
      <c r="J290" s="26"/>
      <c r="K290" s="14"/>
      <c r="L290" s="57" t="s">
        <v>80</v>
      </c>
      <c r="M290" s="58">
        <f>M10</f>
        <v>0.05</v>
      </c>
    </row>
    <row r="291" spans="1:13" s="132" customFormat="1" ht="12" customHeight="1" x14ac:dyDescent="0.3">
      <c r="A291" s="72"/>
      <c r="B291" s="28"/>
      <c r="C291" s="28"/>
      <c r="D291" s="43"/>
      <c r="H291" s="29"/>
      <c r="I291" s="29"/>
      <c r="J291" s="29"/>
      <c r="K291" s="29"/>
      <c r="M291" s="71"/>
    </row>
    <row r="292" spans="1:13" s="132" customFormat="1" ht="27.6" x14ac:dyDescent="0.3">
      <c r="A292" s="246" t="s">
        <v>145</v>
      </c>
      <c r="B292" s="246" t="s">
        <v>70</v>
      </c>
      <c r="C292" s="48" t="s">
        <v>47</v>
      </c>
      <c r="D292" s="135" t="s">
        <v>97</v>
      </c>
      <c r="E292" s="48" t="s">
        <v>98</v>
      </c>
      <c r="F292" s="48" t="s">
        <v>99</v>
      </c>
      <c r="G292" s="48" t="s">
        <v>22</v>
      </c>
      <c r="H292" s="48" t="s">
        <v>23</v>
      </c>
      <c r="I292" s="135" t="s">
        <v>100</v>
      </c>
      <c r="J292" s="136"/>
      <c r="K292" s="52"/>
      <c r="L292" s="48" t="s">
        <v>101</v>
      </c>
      <c r="M292" s="48" t="s">
        <v>0</v>
      </c>
    </row>
    <row r="293" spans="1:13" s="132" customFormat="1" ht="12" customHeight="1" x14ac:dyDescent="0.3">
      <c r="A293" s="137"/>
      <c r="B293" s="71" t="str">
        <f>IF(A293="","",VLOOKUP(A293,'Database Lab+Equip'!$A:$D,2,FALSE))</f>
        <v/>
      </c>
      <c r="C293" s="139"/>
      <c r="D293" s="268"/>
      <c r="E293" s="140">
        <f>IF(A293="",0,VLOOKUP(A293,'Database Lab+Equip'!$A:$D,3,FALSE))</f>
        <v>0</v>
      </c>
      <c r="F293" s="140">
        <f>IF(A293="",0,VLOOKUP(A293,'Database Lab+Equip'!$A:$D,4,FALSE))</f>
        <v>0</v>
      </c>
      <c r="G293" s="140">
        <f>IF(A293="",0,C293*D293*E293*E$289)</f>
        <v>0</v>
      </c>
      <c r="H293" s="140">
        <f>IF(A293="",0,C293*D293*F293*E$289)</f>
        <v>0</v>
      </c>
      <c r="I293" s="140">
        <f>(H293*$M$289)+H293</f>
        <v>0</v>
      </c>
      <c r="J293" s="154"/>
      <c r="K293" s="26"/>
      <c r="M293" s="84"/>
    </row>
    <row r="294" spans="1:13" s="132" customFormat="1" ht="12" customHeight="1" x14ac:dyDescent="0.3">
      <c r="A294" s="137"/>
      <c r="B294" s="71" t="str">
        <f>IF(A294="","",VLOOKUP(A294,'Database Lab+Equip'!$A:$D,2,FALSE))</f>
        <v/>
      </c>
      <c r="C294" s="142"/>
      <c r="D294" s="269"/>
      <c r="E294" s="140">
        <f>IF(A294="",0,VLOOKUP(A294,'Database Lab+Equip'!$A:$D,3,FALSE))</f>
        <v>0</v>
      </c>
      <c r="F294" s="140">
        <f>IF(A294="",0,VLOOKUP(A294,'Database Lab+Equip'!$A:$D,4,FALSE))</f>
        <v>0</v>
      </c>
      <c r="G294" s="140">
        <f>IF(A294="",0,C294*D294*E294*E$289)</f>
        <v>0</v>
      </c>
      <c r="H294" s="140">
        <f>IF(A294="",0,C294*D294*F294*E$289)</f>
        <v>0</v>
      </c>
      <c r="I294" s="140">
        <f>(H294*$M$289)+H294</f>
        <v>0</v>
      </c>
      <c r="J294" s="154"/>
      <c r="K294" s="26"/>
      <c r="M294" s="122"/>
    </row>
    <row r="295" spans="1:13" s="132" customFormat="1" ht="12" customHeight="1" x14ac:dyDescent="0.3">
      <c r="A295" s="137"/>
      <c r="B295" s="71" t="str">
        <f>IF(A295="","",VLOOKUP(A295,'Database Lab+Equip'!$A:$D,2,FALSE))</f>
        <v/>
      </c>
      <c r="C295" s="142"/>
      <c r="D295" s="269"/>
      <c r="E295" s="140">
        <f>IF(A295="",0,VLOOKUP(A295,'Database Lab+Equip'!$A:$D,3,FALSE))</f>
        <v>0</v>
      </c>
      <c r="F295" s="140">
        <f>IF(A295="",0,VLOOKUP(A295,'Database Lab+Equip'!$A:$D,4,FALSE))</f>
        <v>0</v>
      </c>
      <c r="G295" s="140">
        <f>IF(A295="",0,C295*D295*E295*E$289)</f>
        <v>0</v>
      </c>
      <c r="H295" s="140">
        <f>IF(A295="",0,C295*D295*F295*E$289)</f>
        <v>0</v>
      </c>
      <c r="I295" s="140">
        <f>(H295*$M$289)+H295</f>
        <v>0</v>
      </c>
      <c r="J295" s="154"/>
      <c r="K295" s="26"/>
      <c r="M295" s="122"/>
    </row>
    <row r="296" spans="1:13" s="132" customFormat="1" ht="12" customHeight="1" x14ac:dyDescent="0.3">
      <c r="A296" s="137"/>
      <c r="B296" s="71" t="str">
        <f>IF(A296="","",VLOOKUP(A296,'Database Lab+Equip'!$A:$D,2,FALSE))</f>
        <v/>
      </c>
      <c r="C296" s="142"/>
      <c r="D296" s="269"/>
      <c r="E296" s="140">
        <f>IF(A296="",0,VLOOKUP(A296,'Database Lab+Equip'!$A:$D,3,FALSE))</f>
        <v>0</v>
      </c>
      <c r="F296" s="140">
        <f>IF(A296="",0,VLOOKUP(A296,'Database Lab+Equip'!$A:$D,4,FALSE))</f>
        <v>0</v>
      </c>
      <c r="G296" s="140">
        <f>IF(A296="",0,C296*D296*E296*E$289)</f>
        <v>0</v>
      </c>
      <c r="H296" s="140">
        <f>IF(A296="",0,C296*D296*F296*E$289)</f>
        <v>0</v>
      </c>
      <c r="I296" s="140">
        <f>(H296*$M$289)+H296</f>
        <v>0</v>
      </c>
      <c r="J296" s="154"/>
      <c r="K296" s="26"/>
      <c r="M296" s="122"/>
    </row>
    <row r="297" spans="1:13" s="132" customFormat="1" ht="12" customHeight="1" x14ac:dyDescent="0.3">
      <c r="A297" s="137"/>
      <c r="B297" s="71" t="str">
        <f>IF(A297="","",VLOOKUP(A297,'Database Lab+Equip'!$A:$D,2,FALSE))</f>
        <v/>
      </c>
      <c r="C297" s="142"/>
      <c r="D297" s="269"/>
      <c r="E297" s="140">
        <f>IF(A297="",0,VLOOKUP(A297,'Database Lab+Equip'!$A:$D,3,FALSE))</f>
        <v>0</v>
      </c>
      <c r="F297" s="140">
        <f>IF(A297="",0,VLOOKUP(A297,'Database Lab+Equip'!$A:$D,4,FALSE))</f>
        <v>0</v>
      </c>
      <c r="G297" s="140">
        <f>IF(A297="",0,C297*D297*E297*E$289)</f>
        <v>0</v>
      </c>
      <c r="H297" s="140">
        <f>IF(A297="",0,C297*D297*F297*E$289)</f>
        <v>0</v>
      </c>
      <c r="I297" s="140">
        <f>(H297*$M$289)+H297</f>
        <v>0</v>
      </c>
      <c r="J297" s="152" t="s">
        <v>108</v>
      </c>
      <c r="K297" s="153" t="s">
        <v>109</v>
      </c>
      <c r="L297" s="31"/>
      <c r="M297" s="123">
        <f>SUM(I293:I297)-SUM(G293:G297)</f>
        <v>0</v>
      </c>
    </row>
    <row r="298" spans="1:13" s="132" customFormat="1" ht="12" customHeight="1" x14ac:dyDescent="0.3">
      <c r="A298" s="35"/>
      <c r="C298" s="140"/>
      <c r="D298" s="270"/>
      <c r="E298" s="140"/>
      <c r="F298" s="140"/>
      <c r="G298" s="21">
        <f>SUM(G293:G297)</f>
        <v>0</v>
      </c>
      <c r="H298" s="21">
        <f>SUM(H293:H297)</f>
        <v>0</v>
      </c>
      <c r="I298" s="21">
        <f>SUM(I293:I297)</f>
        <v>0</v>
      </c>
      <c r="J298" s="21">
        <f>G298</f>
        <v>0</v>
      </c>
      <c r="K298" s="34">
        <f>I298</f>
        <v>0</v>
      </c>
      <c r="L298" s="154">
        <f>IF(J298=0,0,(K298-J298)/J298)</f>
        <v>0</v>
      </c>
      <c r="M298" s="122"/>
    </row>
    <row r="299" spans="1:13" s="132" customFormat="1" ht="12" customHeight="1" x14ac:dyDescent="0.3">
      <c r="A299" s="35"/>
      <c r="B299" s="71"/>
      <c r="C299" s="122"/>
      <c r="D299" s="265"/>
      <c r="E299" s="122"/>
      <c r="F299" s="122"/>
      <c r="G299" s="122"/>
      <c r="H299" s="122"/>
      <c r="I299" s="144"/>
      <c r="J299" s="84"/>
      <c r="K299" s="29"/>
      <c r="L299" s="122"/>
      <c r="M299" s="122"/>
    </row>
    <row r="300" spans="1:13" s="132" customFormat="1" ht="41.4" x14ac:dyDescent="0.3">
      <c r="A300" s="246" t="s">
        <v>96</v>
      </c>
      <c r="B300" s="246" t="s">
        <v>80</v>
      </c>
      <c r="C300" s="48" t="s">
        <v>47</v>
      </c>
      <c r="D300" s="135" t="s">
        <v>110</v>
      </c>
      <c r="E300" s="48" t="s">
        <v>98</v>
      </c>
      <c r="F300" s="48" t="s">
        <v>99</v>
      </c>
      <c r="G300" s="48" t="s">
        <v>22</v>
      </c>
      <c r="H300" s="48" t="s">
        <v>23</v>
      </c>
      <c r="I300" s="135" t="s">
        <v>100</v>
      </c>
      <c r="J300" s="145"/>
      <c r="K300" s="48"/>
      <c r="L300" s="124"/>
      <c r="M300" s="124"/>
    </row>
    <row r="301" spans="1:13" s="132" customFormat="1" ht="12" customHeight="1" x14ac:dyDescent="0.3">
      <c r="A301" s="148"/>
      <c r="B301" s="71" t="str">
        <f>IF(A301="","",VLOOKUP(A301,'Database Lab+Equip'!$F:$I,2,FALSE))</f>
        <v/>
      </c>
      <c r="C301" s="139"/>
      <c r="D301" s="271"/>
      <c r="E301" s="140">
        <f>IF(A301="",0,VLOOKUP(A301,'Database Lab+Equip'!$F:$I,3,FALSE))</f>
        <v>0</v>
      </c>
      <c r="F301" s="140">
        <f>IF(A301="",0,VLOOKUP(A301,'Database Lab+Equip'!$F:$I,4,FALSE))</f>
        <v>0</v>
      </c>
      <c r="G301" s="140">
        <f>IF(A301="",0,C301*D301*E301*E$289)</f>
        <v>0</v>
      </c>
      <c r="H301" s="140">
        <f>IF(A301="",0,C301*D301*F301*E$289)</f>
        <v>0</v>
      </c>
      <c r="I301" s="140">
        <f>(H301*$M$290)+H301</f>
        <v>0</v>
      </c>
      <c r="J301" s="84"/>
      <c r="K301" s="29"/>
      <c r="L301" s="122"/>
      <c r="M301" s="84"/>
    </row>
    <row r="302" spans="1:13" s="132" customFormat="1" ht="12" customHeight="1" x14ac:dyDescent="0.3">
      <c r="A302" s="148"/>
      <c r="B302" s="71" t="str">
        <f>IF(A302="","",VLOOKUP(A302,'Database Lab+Equip'!$F:$I,2,FALSE))</f>
        <v/>
      </c>
      <c r="C302" s="142"/>
      <c r="D302" s="272"/>
      <c r="E302" s="140">
        <f>IF(A302="",0,VLOOKUP(A302,'Database Lab+Equip'!$F:$I,3,FALSE))</f>
        <v>0</v>
      </c>
      <c r="F302" s="140">
        <f>IF(A302="",0,VLOOKUP(A302,'Database Lab+Equip'!$F:$I,4,FALSE))</f>
        <v>0</v>
      </c>
      <c r="G302" s="140">
        <f t="shared" ref="G302:G308" si="27">IF(A302="",0,C302*D302*E302*E$289)</f>
        <v>0</v>
      </c>
      <c r="H302" s="140">
        <f t="shared" ref="H302:H308" si="28">IF(A302="",0,C302*D302*F302*E$289)</f>
        <v>0</v>
      </c>
      <c r="I302" s="140">
        <f t="shared" ref="I302:I308" si="29">(H302*$M$290)+H302</f>
        <v>0</v>
      </c>
      <c r="J302" s="122"/>
      <c r="K302" s="29"/>
      <c r="L302" s="122"/>
      <c r="M302" s="122"/>
    </row>
    <row r="303" spans="1:13" s="132" customFormat="1" ht="12" customHeight="1" x14ac:dyDescent="0.3">
      <c r="A303" s="148"/>
      <c r="B303" s="71" t="str">
        <f>IF(A303="","",VLOOKUP(A303,'Database Lab+Equip'!$F:$I,2,FALSE))</f>
        <v/>
      </c>
      <c r="C303" s="142"/>
      <c r="D303" s="272"/>
      <c r="E303" s="140">
        <f>IF(A303="",0,VLOOKUP(A303,'Database Lab+Equip'!$F:$I,3,FALSE))</f>
        <v>0</v>
      </c>
      <c r="F303" s="140">
        <f>IF(A303="",0,VLOOKUP(A303,'Database Lab+Equip'!$F:$I,4,FALSE))</f>
        <v>0</v>
      </c>
      <c r="G303" s="140">
        <f t="shared" si="27"/>
        <v>0</v>
      </c>
      <c r="H303" s="140">
        <f t="shared" si="28"/>
        <v>0</v>
      </c>
      <c r="I303" s="140">
        <f t="shared" si="29"/>
        <v>0</v>
      </c>
      <c r="J303" s="84"/>
      <c r="K303" s="29"/>
      <c r="L303" s="122"/>
      <c r="M303" s="122"/>
    </row>
    <row r="304" spans="1:13" s="132" customFormat="1" ht="12" customHeight="1" x14ac:dyDescent="0.3">
      <c r="A304" s="148"/>
      <c r="B304" s="71" t="str">
        <f>IF(A304="","",VLOOKUP(A304,'Database Lab+Equip'!$F:$I,2,FALSE))</f>
        <v/>
      </c>
      <c r="C304" s="142"/>
      <c r="D304" s="272"/>
      <c r="E304" s="140">
        <f>IF(A304="",0,VLOOKUP(A304,'Database Lab+Equip'!$F:$I,3,FALSE))</f>
        <v>0</v>
      </c>
      <c r="F304" s="140">
        <f>IF(A304="",0,VLOOKUP(A304,'Database Lab+Equip'!$F:$I,4,FALSE))</f>
        <v>0</v>
      </c>
      <c r="G304" s="140">
        <f t="shared" si="27"/>
        <v>0</v>
      </c>
      <c r="H304" s="140">
        <f t="shared" si="28"/>
        <v>0</v>
      </c>
      <c r="I304" s="140">
        <f t="shared" si="29"/>
        <v>0</v>
      </c>
      <c r="J304" s="84"/>
      <c r="K304" s="29"/>
      <c r="L304" s="122"/>
      <c r="M304" s="122"/>
    </row>
    <row r="305" spans="1:13" s="132" customFormat="1" ht="12" customHeight="1" x14ac:dyDescent="0.3">
      <c r="A305" s="148"/>
      <c r="B305" s="71" t="str">
        <f>IF(A305="","",VLOOKUP(A305,'Database Lab+Equip'!$F:$I,2,FALSE))</f>
        <v/>
      </c>
      <c r="C305" s="142"/>
      <c r="D305" s="272"/>
      <c r="E305" s="140">
        <f>IF(A305="",0,VLOOKUP(A305,'Database Lab+Equip'!$F:$I,3,FALSE))</f>
        <v>0</v>
      </c>
      <c r="F305" s="140">
        <f>IF(A305="",0,VLOOKUP(A305,'Database Lab+Equip'!$F:$I,4,FALSE))</f>
        <v>0</v>
      </c>
      <c r="G305" s="140">
        <f t="shared" si="27"/>
        <v>0</v>
      </c>
      <c r="H305" s="140">
        <f t="shared" si="28"/>
        <v>0</v>
      </c>
      <c r="I305" s="140">
        <f t="shared" si="29"/>
        <v>0</v>
      </c>
      <c r="J305" s="84"/>
      <c r="K305" s="29"/>
      <c r="L305" s="122"/>
      <c r="M305" s="122"/>
    </row>
    <row r="306" spans="1:13" s="132" customFormat="1" ht="12" customHeight="1" x14ac:dyDescent="0.3">
      <c r="A306" s="148"/>
      <c r="B306" s="71" t="str">
        <f>IF(A306="","",VLOOKUP(A306,'Database Lab+Equip'!$F:$I,2,FALSE))</f>
        <v/>
      </c>
      <c r="C306" s="142"/>
      <c r="D306" s="272"/>
      <c r="E306" s="140">
        <f>IF(A306="",0,VLOOKUP(A306,'Database Lab+Equip'!$F:$I,3,FALSE))</f>
        <v>0</v>
      </c>
      <c r="F306" s="140">
        <f>IF(A306="",0,VLOOKUP(A306,'Database Lab+Equip'!$F:$I,4,FALSE))</f>
        <v>0</v>
      </c>
      <c r="G306" s="140">
        <f t="shared" si="27"/>
        <v>0</v>
      </c>
      <c r="H306" s="140">
        <f t="shared" si="28"/>
        <v>0</v>
      </c>
      <c r="I306" s="140">
        <f t="shared" si="29"/>
        <v>0</v>
      </c>
      <c r="J306" s="84"/>
      <c r="K306" s="29"/>
      <c r="L306" s="122"/>
      <c r="M306" s="122"/>
    </row>
    <row r="307" spans="1:13" s="132" customFormat="1" ht="12" customHeight="1" x14ac:dyDescent="0.3">
      <c r="A307" s="148"/>
      <c r="B307" s="71" t="str">
        <f>IF(A307="","",VLOOKUP(A307,'Database Lab+Equip'!$F:$I,2,FALSE))</f>
        <v/>
      </c>
      <c r="C307" s="142"/>
      <c r="D307" s="272"/>
      <c r="E307" s="140">
        <f>IF(A307="",0,VLOOKUP(A307,'Database Lab+Equip'!$F:$I,3,FALSE))</f>
        <v>0</v>
      </c>
      <c r="F307" s="140">
        <f>IF(A307="",0,VLOOKUP(A307,'Database Lab+Equip'!$F:$I,4,FALSE))</f>
        <v>0</v>
      </c>
      <c r="G307" s="140">
        <f t="shared" si="27"/>
        <v>0</v>
      </c>
      <c r="H307" s="140">
        <f t="shared" si="28"/>
        <v>0</v>
      </c>
      <c r="I307" s="140">
        <f t="shared" si="29"/>
        <v>0</v>
      </c>
      <c r="J307" s="84"/>
      <c r="K307" s="29"/>
      <c r="L307" s="122"/>
      <c r="M307" s="122"/>
    </row>
    <row r="308" spans="1:13" s="132" customFormat="1" ht="12" customHeight="1" x14ac:dyDescent="0.3">
      <c r="A308" s="148"/>
      <c r="B308" s="71" t="str">
        <f>IF(A308="","",VLOOKUP(A308,'Database Lab+Equip'!$F:$I,2,FALSE))</f>
        <v/>
      </c>
      <c r="C308" s="150"/>
      <c r="D308" s="273"/>
      <c r="E308" s="140">
        <f>IF(A308="",0,VLOOKUP(A308,'Database Lab+Equip'!$F:$I,3,FALSE))</f>
        <v>0</v>
      </c>
      <c r="F308" s="140">
        <f>IF(A308="",0,VLOOKUP(A308,'Database Lab+Equip'!$F:$I,4,FALSE))</f>
        <v>0</v>
      </c>
      <c r="G308" s="140">
        <f t="shared" si="27"/>
        <v>0</v>
      </c>
      <c r="H308" s="140">
        <f t="shared" si="28"/>
        <v>0</v>
      </c>
      <c r="I308" s="140">
        <f t="shared" si="29"/>
        <v>0</v>
      </c>
      <c r="J308" s="152" t="s">
        <v>108</v>
      </c>
      <c r="K308" s="153" t="s">
        <v>109</v>
      </c>
      <c r="L308" s="31"/>
      <c r="M308" s="125">
        <f>SUM(I301:I308)-SUM(G301:G308)</f>
        <v>0</v>
      </c>
    </row>
    <row r="309" spans="1:13" s="132" customFormat="1" ht="12" customHeight="1" x14ac:dyDescent="0.3">
      <c r="A309" s="72"/>
      <c r="B309" s="143"/>
      <c r="C309" s="130"/>
      <c r="D309" s="265"/>
      <c r="E309" s="122"/>
      <c r="F309" s="122"/>
      <c r="G309" s="21">
        <f>SUM(G301:G308)</f>
        <v>0</v>
      </c>
      <c r="H309" s="21">
        <f>SUM(H301:H308)</f>
        <v>0</v>
      </c>
      <c r="I309" s="21">
        <f>SUM(I301:I308)</f>
        <v>0</v>
      </c>
      <c r="J309" s="21">
        <f>G309</f>
        <v>0</v>
      </c>
      <c r="K309" s="34">
        <f>I309</f>
        <v>0</v>
      </c>
      <c r="L309" s="154">
        <f>IF(J309=0,0,(K309-J309)/J309)</f>
        <v>0</v>
      </c>
      <c r="M309" s="187">
        <f>M297+M308</f>
        <v>0</v>
      </c>
    </row>
    <row r="310" spans="1:13" s="31" customFormat="1" ht="13.8" x14ac:dyDescent="0.3">
      <c r="A310" s="110"/>
      <c r="B310" s="115"/>
      <c r="C310" s="116"/>
      <c r="D310" s="274"/>
      <c r="E310" s="117"/>
      <c r="F310" s="117"/>
      <c r="G310" s="118"/>
      <c r="H310" s="110"/>
      <c r="I310" s="161"/>
      <c r="J310" s="162">
        <f>J298+J309</f>
        <v>0</v>
      </c>
      <c r="K310" s="162">
        <f>K298+K309</f>
        <v>0</v>
      </c>
      <c r="L310" s="119">
        <f>IF(J310=0,0,(K310-J310)/K310)</f>
        <v>0</v>
      </c>
      <c r="M310" s="173"/>
    </row>
    <row r="311" spans="1:13" s="31" customFormat="1" ht="13.8" x14ac:dyDescent="0.3">
      <c r="A311" s="112"/>
      <c r="B311" s="223"/>
      <c r="C311" s="214"/>
      <c r="D311" s="275"/>
      <c r="E311" s="215"/>
      <c r="F311" s="215"/>
      <c r="G311" s="216"/>
      <c r="H311" s="112"/>
      <c r="I311" s="217"/>
      <c r="J311" s="218"/>
      <c r="K311" s="218"/>
      <c r="L311" s="212"/>
      <c r="M311" s="213"/>
    </row>
    <row r="312" spans="1:13" ht="15.6" x14ac:dyDescent="0.3">
      <c r="B312" s="241" t="s">
        <v>176</v>
      </c>
      <c r="C312" s="129"/>
      <c r="D312" s="129"/>
      <c r="E312" s="129"/>
      <c r="F312" s="129"/>
      <c r="H312" s="132"/>
      <c r="I312" s="132"/>
      <c r="L312" s="221" t="s">
        <v>85</v>
      </c>
      <c r="M312" s="222"/>
    </row>
    <row r="313" spans="1:13" s="132" customFormat="1" ht="12" customHeight="1" x14ac:dyDescent="0.3">
      <c r="A313" s="72"/>
      <c r="B313" s="24" t="s">
        <v>135</v>
      </c>
      <c r="C313" s="22"/>
      <c r="D313" s="266" t="s">
        <v>87</v>
      </c>
      <c r="E313" s="23"/>
      <c r="F313" s="133"/>
      <c r="H313" s="14"/>
      <c r="I313" s="14"/>
      <c r="J313" s="14"/>
      <c r="K313" s="14"/>
      <c r="L313" s="219" t="s">
        <v>88</v>
      </c>
      <c r="M313" s="220"/>
    </row>
    <row r="314" spans="1:13" s="132" customFormat="1" ht="12" customHeight="1" x14ac:dyDescent="0.3">
      <c r="A314" s="72"/>
      <c r="B314" s="24" t="s">
        <v>141</v>
      </c>
      <c r="C314" s="25"/>
      <c r="D314" s="266" t="s">
        <v>89</v>
      </c>
      <c r="E314" s="23"/>
      <c r="K314" s="14"/>
      <c r="L314" s="126" t="s">
        <v>90</v>
      </c>
      <c r="M314" s="127"/>
    </row>
    <row r="315" spans="1:13" s="132" customFormat="1" ht="12" customHeight="1" x14ac:dyDescent="0.3">
      <c r="A315" s="72"/>
      <c r="B315" s="24" t="s">
        <v>142</v>
      </c>
      <c r="C315" s="27" t="str">
        <f>IF(C313="","",IF(E315="","",C313/E315+C314))</f>
        <v/>
      </c>
      <c r="D315" s="266" t="s">
        <v>91</v>
      </c>
      <c r="E315" s="23"/>
      <c r="I315" s="26"/>
      <c r="J315" s="26"/>
      <c r="K315" s="14"/>
      <c r="L315" s="126" t="s">
        <v>92</v>
      </c>
      <c r="M315" s="127"/>
    </row>
    <row r="316" spans="1:13" s="132" customFormat="1" ht="12" customHeight="1" x14ac:dyDescent="0.3">
      <c r="A316" s="72"/>
      <c r="B316" s="59" t="s">
        <v>143</v>
      </c>
      <c r="C316" s="260"/>
      <c r="D316" s="266" t="s">
        <v>25</v>
      </c>
      <c r="E316" s="128">
        <f>SUM(C321:C325)</f>
        <v>0</v>
      </c>
      <c r="I316" s="26"/>
      <c r="J316" s="26"/>
      <c r="K316" s="14"/>
      <c r="L316" s="93" t="s">
        <v>94</v>
      </c>
      <c r="M316" s="94"/>
    </row>
    <row r="317" spans="1:13" s="132" customFormat="1" ht="12" customHeight="1" x14ac:dyDescent="0.3">
      <c r="A317" s="72"/>
      <c r="B317" s="59" t="s">
        <v>144</v>
      </c>
      <c r="C317" s="25"/>
      <c r="D317" s="266" t="s">
        <v>44</v>
      </c>
      <c r="E317" s="244">
        <f>IF(E316=0,0,(C315/C316)/C317)</f>
        <v>0</v>
      </c>
      <c r="I317" s="26"/>
      <c r="J317" s="26"/>
      <c r="K317" s="14"/>
      <c r="L317" s="57" t="s">
        <v>70</v>
      </c>
      <c r="M317" s="58">
        <f>M9</f>
        <v>0.05</v>
      </c>
    </row>
    <row r="318" spans="1:13" s="132" customFormat="1" ht="12" customHeight="1" x14ac:dyDescent="0.3">
      <c r="A318" s="72"/>
      <c r="B318" s="28"/>
      <c r="C318" s="122"/>
      <c r="D318" s="267"/>
      <c r="E318" s="211"/>
      <c r="I318" s="26"/>
      <c r="J318" s="26"/>
      <c r="K318" s="14"/>
      <c r="L318" s="57" t="s">
        <v>80</v>
      </c>
      <c r="M318" s="58">
        <f>M10</f>
        <v>0.05</v>
      </c>
    </row>
    <row r="319" spans="1:13" s="132" customFormat="1" ht="12" customHeight="1" x14ac:dyDescent="0.3">
      <c r="A319" s="72"/>
      <c r="B319" s="28"/>
      <c r="C319" s="28"/>
      <c r="D319" s="43"/>
      <c r="H319" s="29"/>
      <c r="I319" s="29"/>
      <c r="J319" s="29"/>
      <c r="K319" s="29"/>
      <c r="M319" s="71"/>
    </row>
    <row r="320" spans="1:13" s="132" customFormat="1" ht="27.6" x14ac:dyDescent="0.3">
      <c r="A320" s="246" t="s">
        <v>145</v>
      </c>
      <c r="B320" s="246" t="s">
        <v>70</v>
      </c>
      <c r="C320" s="48" t="s">
        <v>47</v>
      </c>
      <c r="D320" s="135" t="s">
        <v>97</v>
      </c>
      <c r="E320" s="48" t="s">
        <v>98</v>
      </c>
      <c r="F320" s="48" t="s">
        <v>99</v>
      </c>
      <c r="G320" s="48" t="s">
        <v>22</v>
      </c>
      <c r="H320" s="48" t="s">
        <v>23</v>
      </c>
      <c r="I320" s="135" t="s">
        <v>100</v>
      </c>
      <c r="J320" s="136"/>
      <c r="K320" s="52"/>
      <c r="L320" s="48" t="s">
        <v>101</v>
      </c>
      <c r="M320" s="48" t="s">
        <v>0</v>
      </c>
    </row>
    <row r="321" spans="1:13" s="132" customFormat="1" ht="12" customHeight="1" x14ac:dyDescent="0.3">
      <c r="A321" s="137"/>
      <c r="B321" s="71" t="str">
        <f>IF(A321="","",VLOOKUP(A321,'Database Lab+Equip'!$A:$D,2,FALSE))</f>
        <v/>
      </c>
      <c r="C321" s="139"/>
      <c r="D321" s="268"/>
      <c r="E321" s="140">
        <f>IF(A321="",0,VLOOKUP(A321,'Database Lab+Equip'!$A:$D,3,FALSE))</f>
        <v>0</v>
      </c>
      <c r="F321" s="140">
        <f>IF(A321="",0,VLOOKUP(A321,'Database Lab+Equip'!$A:$D,4,FALSE))</f>
        <v>0</v>
      </c>
      <c r="G321" s="140">
        <f>IF(A321="",0,C321*D321*E321*E$317)</f>
        <v>0</v>
      </c>
      <c r="H321" s="140">
        <f>IF(A321="",0,C321*D321*F321*E$317)</f>
        <v>0</v>
      </c>
      <c r="I321" s="140">
        <f>(H321*$M$317)+H321</f>
        <v>0</v>
      </c>
      <c r="J321" s="154"/>
      <c r="K321" s="26"/>
      <c r="M321" s="84"/>
    </row>
    <row r="322" spans="1:13" s="132" customFormat="1" ht="12" customHeight="1" x14ac:dyDescent="0.3">
      <c r="A322" s="137"/>
      <c r="B322" s="71" t="str">
        <f>IF(A322="","",VLOOKUP(A322,'Database Lab+Equip'!$A:$D,2,FALSE))</f>
        <v/>
      </c>
      <c r="C322" s="142"/>
      <c r="D322" s="269"/>
      <c r="E322" s="140">
        <f>IF(A322="",0,VLOOKUP(A322,'Database Lab+Equip'!$A:$D,3,FALSE))</f>
        <v>0</v>
      </c>
      <c r="F322" s="140">
        <f>IF(A322="",0,VLOOKUP(A322,'Database Lab+Equip'!$A:$D,4,FALSE))</f>
        <v>0</v>
      </c>
      <c r="G322" s="140">
        <f>IF(A322="",0,C322*D322*E322*E$317)</f>
        <v>0</v>
      </c>
      <c r="H322" s="140">
        <f>IF(A322="",0,C322*D322*F322*E$317)</f>
        <v>0</v>
      </c>
      <c r="I322" s="140">
        <f>(H322*$M$317)+H322</f>
        <v>0</v>
      </c>
      <c r="J322" s="154"/>
      <c r="K322" s="26"/>
      <c r="M322" s="122"/>
    </row>
    <row r="323" spans="1:13" s="132" customFormat="1" ht="12" customHeight="1" x14ac:dyDescent="0.3">
      <c r="A323" s="137"/>
      <c r="B323" s="71" t="str">
        <f>IF(A323="","",VLOOKUP(A323,'Database Lab+Equip'!$A:$D,2,FALSE))</f>
        <v/>
      </c>
      <c r="C323" s="142"/>
      <c r="D323" s="269"/>
      <c r="E323" s="140">
        <f>IF(A323="",0,VLOOKUP(A323,'Database Lab+Equip'!$A:$D,3,FALSE))</f>
        <v>0</v>
      </c>
      <c r="F323" s="140">
        <f>IF(A323="",0,VLOOKUP(A323,'Database Lab+Equip'!$A:$D,4,FALSE))</f>
        <v>0</v>
      </c>
      <c r="G323" s="140">
        <f>IF(A323="",0,C323*D323*E323*E$317)</f>
        <v>0</v>
      </c>
      <c r="H323" s="140">
        <f>IF(A323="",0,C323*D323*F323*E$317)</f>
        <v>0</v>
      </c>
      <c r="I323" s="140">
        <f>(H323*$M$317)+H323</f>
        <v>0</v>
      </c>
      <c r="J323" s="154"/>
      <c r="K323" s="26"/>
      <c r="M323" s="122"/>
    </row>
    <row r="324" spans="1:13" s="132" customFormat="1" ht="12" customHeight="1" x14ac:dyDescent="0.3">
      <c r="A324" s="137"/>
      <c r="B324" s="71" t="str">
        <f>IF(A324="","",VLOOKUP(A324,'Database Lab+Equip'!$A:$D,2,FALSE))</f>
        <v/>
      </c>
      <c r="C324" s="142"/>
      <c r="D324" s="269"/>
      <c r="E324" s="140">
        <f>IF(A324="",0,VLOOKUP(A324,'Database Lab+Equip'!$A:$D,3,FALSE))</f>
        <v>0</v>
      </c>
      <c r="F324" s="140">
        <f>IF(A324="",0,VLOOKUP(A324,'Database Lab+Equip'!$A:$D,4,FALSE))</f>
        <v>0</v>
      </c>
      <c r="G324" s="140">
        <f>IF(A324="",0,C324*D324*E324*E$317)</f>
        <v>0</v>
      </c>
      <c r="H324" s="140">
        <f>IF(A324="",0,C324*D324*F324*E$317)</f>
        <v>0</v>
      </c>
      <c r="I324" s="140">
        <f>(H324*$M$317)+H324</f>
        <v>0</v>
      </c>
      <c r="J324" s="154"/>
      <c r="K324" s="26"/>
      <c r="M324" s="122"/>
    </row>
    <row r="325" spans="1:13" s="132" customFormat="1" ht="12" customHeight="1" x14ac:dyDescent="0.3">
      <c r="A325" s="137"/>
      <c r="B325" s="71" t="str">
        <f>IF(A325="","",VLOOKUP(A325,'Database Lab+Equip'!$A:$D,2,FALSE))</f>
        <v/>
      </c>
      <c r="C325" s="142"/>
      <c r="D325" s="269"/>
      <c r="E325" s="140">
        <f>IF(A325="",0,VLOOKUP(A325,'Database Lab+Equip'!$A:$D,3,FALSE))</f>
        <v>0</v>
      </c>
      <c r="F325" s="140">
        <f>IF(A325="",0,VLOOKUP(A325,'Database Lab+Equip'!$A:$D,4,FALSE))</f>
        <v>0</v>
      </c>
      <c r="G325" s="140">
        <f>IF(A325="",0,C325*D325*E325*E$317)</f>
        <v>0</v>
      </c>
      <c r="H325" s="140">
        <f>IF(A325="",0,C325*D325*F325*E$317)</f>
        <v>0</v>
      </c>
      <c r="I325" s="140">
        <f>(H325*$M$317)+H325</f>
        <v>0</v>
      </c>
      <c r="J325" s="152" t="s">
        <v>108</v>
      </c>
      <c r="K325" s="153" t="s">
        <v>109</v>
      </c>
      <c r="L325" s="31"/>
      <c r="M325" s="123">
        <f>SUM(I321:I325)-SUM(G321:G325)</f>
        <v>0</v>
      </c>
    </row>
    <row r="326" spans="1:13" s="132" customFormat="1" ht="12" customHeight="1" x14ac:dyDescent="0.3">
      <c r="A326" s="35"/>
      <c r="C326" s="140"/>
      <c r="D326" s="270"/>
      <c r="E326" s="140"/>
      <c r="F326" s="140"/>
      <c r="G326" s="21">
        <f>SUM(G321:G325)</f>
        <v>0</v>
      </c>
      <c r="H326" s="21">
        <f>SUM(H321:H325)</f>
        <v>0</v>
      </c>
      <c r="I326" s="21">
        <f>SUM(I321:I325)</f>
        <v>0</v>
      </c>
      <c r="J326" s="21">
        <f>G326</f>
        <v>0</v>
      </c>
      <c r="K326" s="34">
        <f>I326</f>
        <v>0</v>
      </c>
      <c r="L326" s="154">
        <f>IF(J326=0,0,(K326-J326)/J326)</f>
        <v>0</v>
      </c>
      <c r="M326" s="122"/>
    </row>
    <row r="327" spans="1:13" s="132" customFormat="1" ht="12" customHeight="1" x14ac:dyDescent="0.3">
      <c r="A327" s="35"/>
      <c r="B327" s="71"/>
      <c r="C327" s="122"/>
      <c r="D327" s="265"/>
      <c r="E327" s="122"/>
      <c r="F327" s="122"/>
      <c r="G327" s="122"/>
      <c r="H327" s="122"/>
      <c r="I327" s="144"/>
      <c r="J327" s="84"/>
      <c r="K327" s="29"/>
      <c r="L327" s="122"/>
      <c r="M327" s="122"/>
    </row>
    <row r="328" spans="1:13" s="132" customFormat="1" ht="41.4" x14ac:dyDescent="0.3">
      <c r="A328" s="246" t="s">
        <v>96</v>
      </c>
      <c r="B328" s="246" t="s">
        <v>80</v>
      </c>
      <c r="C328" s="48" t="s">
        <v>47</v>
      </c>
      <c r="D328" s="135" t="s">
        <v>110</v>
      </c>
      <c r="E328" s="48" t="s">
        <v>98</v>
      </c>
      <c r="F328" s="48" t="s">
        <v>99</v>
      </c>
      <c r="G328" s="48" t="s">
        <v>22</v>
      </c>
      <c r="H328" s="48" t="s">
        <v>23</v>
      </c>
      <c r="I328" s="135" t="s">
        <v>100</v>
      </c>
      <c r="J328" s="145"/>
      <c r="K328" s="48"/>
      <c r="L328" s="124"/>
      <c r="M328" s="124"/>
    </row>
    <row r="329" spans="1:13" s="132" customFormat="1" ht="12" customHeight="1" x14ac:dyDescent="0.3">
      <c r="A329" s="148"/>
      <c r="B329" s="71" t="str">
        <f>IF(A329="","",VLOOKUP(A329,'Database Lab+Equip'!$F:$I,2,FALSE))</f>
        <v/>
      </c>
      <c r="C329" s="139"/>
      <c r="D329" s="271"/>
      <c r="E329" s="140">
        <f>IF(A329="",0,VLOOKUP(A329,'Database Lab+Equip'!$F:$I,3,FALSE))</f>
        <v>0</v>
      </c>
      <c r="F329" s="140">
        <f>IF(A329="",0,VLOOKUP(A329,'Database Lab+Equip'!$F:$I,4,FALSE))</f>
        <v>0</v>
      </c>
      <c r="G329" s="140">
        <f>IF(A329="",0,C329*D329*E329*E$317)</f>
        <v>0</v>
      </c>
      <c r="H329" s="140">
        <f>IF(A329="",0,C329*D329*F329*E$317)</f>
        <v>0</v>
      </c>
      <c r="I329" s="140">
        <f>(H329*$M$318)+H329</f>
        <v>0</v>
      </c>
      <c r="J329" s="84"/>
      <c r="K329" s="29"/>
      <c r="L329" s="122"/>
      <c r="M329" s="84"/>
    </row>
    <row r="330" spans="1:13" s="132" customFormat="1" ht="12" customHeight="1" x14ac:dyDescent="0.3">
      <c r="A330" s="148"/>
      <c r="B330" s="71" t="str">
        <f>IF(A330="","",VLOOKUP(A330,'Database Lab+Equip'!$F:$I,2,FALSE))</f>
        <v/>
      </c>
      <c r="C330" s="142"/>
      <c r="D330" s="272"/>
      <c r="E330" s="140">
        <f>IF(A330="",0,VLOOKUP(A330,'Database Lab+Equip'!$F:$I,3,FALSE))</f>
        <v>0</v>
      </c>
      <c r="F330" s="140">
        <f>IF(A330="",0,VLOOKUP(A330,'Database Lab+Equip'!$F:$I,4,FALSE))</f>
        <v>0</v>
      </c>
      <c r="G330" s="140">
        <f t="shared" ref="G330:G336" si="30">IF(A330="",0,C330*D330*E330*E$317)</f>
        <v>0</v>
      </c>
      <c r="H330" s="140">
        <f t="shared" ref="H330:H336" si="31">IF(A330="",0,C330*D330*F330*E$317)</f>
        <v>0</v>
      </c>
      <c r="I330" s="140">
        <f t="shared" ref="I330:I336" si="32">(H330*$M$318)+H330</f>
        <v>0</v>
      </c>
      <c r="J330" s="122"/>
      <c r="K330" s="29"/>
      <c r="L330" s="122"/>
      <c r="M330" s="122"/>
    </row>
    <row r="331" spans="1:13" s="132" customFormat="1" ht="12" customHeight="1" x14ac:dyDescent="0.3">
      <c r="A331" s="148"/>
      <c r="B331" s="71" t="str">
        <f>IF(A331="","",VLOOKUP(A331,'Database Lab+Equip'!$F:$I,2,FALSE))</f>
        <v/>
      </c>
      <c r="C331" s="142"/>
      <c r="D331" s="272"/>
      <c r="E331" s="140">
        <f>IF(A331="",0,VLOOKUP(A331,'Database Lab+Equip'!$F:$I,3,FALSE))</f>
        <v>0</v>
      </c>
      <c r="F331" s="140">
        <f>IF(A331="",0,VLOOKUP(A331,'Database Lab+Equip'!$F:$I,4,FALSE))</f>
        <v>0</v>
      </c>
      <c r="G331" s="140">
        <f t="shared" si="30"/>
        <v>0</v>
      </c>
      <c r="H331" s="140">
        <f t="shared" si="31"/>
        <v>0</v>
      </c>
      <c r="I331" s="140">
        <f t="shared" si="32"/>
        <v>0</v>
      </c>
      <c r="J331" s="84"/>
      <c r="K331" s="29"/>
      <c r="L331" s="122"/>
      <c r="M331" s="122"/>
    </row>
    <row r="332" spans="1:13" s="132" customFormat="1" ht="12" customHeight="1" x14ac:dyDescent="0.3">
      <c r="A332" s="148"/>
      <c r="B332" s="71" t="str">
        <f>IF(A332="","",VLOOKUP(A332,'Database Lab+Equip'!$F:$I,2,FALSE))</f>
        <v/>
      </c>
      <c r="C332" s="142"/>
      <c r="D332" s="272"/>
      <c r="E332" s="140">
        <f>IF(A332="",0,VLOOKUP(A332,'Database Lab+Equip'!$F:$I,3,FALSE))</f>
        <v>0</v>
      </c>
      <c r="F332" s="140">
        <f>IF(A332="",0,VLOOKUP(A332,'Database Lab+Equip'!$F:$I,4,FALSE))</f>
        <v>0</v>
      </c>
      <c r="G332" s="140">
        <f t="shared" si="30"/>
        <v>0</v>
      </c>
      <c r="H332" s="140">
        <f t="shared" si="31"/>
        <v>0</v>
      </c>
      <c r="I332" s="140">
        <f t="shared" si="32"/>
        <v>0</v>
      </c>
      <c r="J332" s="84"/>
      <c r="K332" s="29"/>
      <c r="L332" s="122"/>
      <c r="M332" s="122"/>
    </row>
    <row r="333" spans="1:13" s="132" customFormat="1" ht="12" customHeight="1" x14ac:dyDescent="0.3">
      <c r="A333" s="148"/>
      <c r="B333" s="71" t="str">
        <f>IF(A333="","",VLOOKUP(A333,'Database Lab+Equip'!$F:$I,2,FALSE))</f>
        <v/>
      </c>
      <c r="C333" s="142"/>
      <c r="D333" s="272"/>
      <c r="E333" s="140">
        <f>IF(A333="",0,VLOOKUP(A333,'Database Lab+Equip'!$F:$I,3,FALSE))</f>
        <v>0</v>
      </c>
      <c r="F333" s="140">
        <f>IF(A333="",0,VLOOKUP(A333,'Database Lab+Equip'!$F:$I,4,FALSE))</f>
        <v>0</v>
      </c>
      <c r="G333" s="140">
        <f t="shared" si="30"/>
        <v>0</v>
      </c>
      <c r="H333" s="140">
        <f t="shared" si="31"/>
        <v>0</v>
      </c>
      <c r="I333" s="140">
        <f t="shared" si="32"/>
        <v>0</v>
      </c>
      <c r="J333" s="84"/>
      <c r="K333" s="29"/>
      <c r="L333" s="122"/>
      <c r="M333" s="122"/>
    </row>
    <row r="334" spans="1:13" s="132" customFormat="1" ht="12" customHeight="1" x14ac:dyDescent="0.3">
      <c r="A334" s="148"/>
      <c r="B334" s="71" t="str">
        <f>IF(A334="","",VLOOKUP(A334,'Database Lab+Equip'!$F:$I,2,FALSE))</f>
        <v/>
      </c>
      <c r="C334" s="142"/>
      <c r="D334" s="272"/>
      <c r="E334" s="140">
        <f>IF(A334="",0,VLOOKUP(A334,'Database Lab+Equip'!$F:$I,3,FALSE))</f>
        <v>0</v>
      </c>
      <c r="F334" s="140">
        <f>IF(A334="",0,VLOOKUP(A334,'Database Lab+Equip'!$F:$I,4,FALSE))</f>
        <v>0</v>
      </c>
      <c r="G334" s="140">
        <f t="shared" si="30"/>
        <v>0</v>
      </c>
      <c r="H334" s="140">
        <f t="shared" si="31"/>
        <v>0</v>
      </c>
      <c r="I334" s="140">
        <f t="shared" si="32"/>
        <v>0</v>
      </c>
      <c r="J334" s="84"/>
      <c r="K334" s="29"/>
      <c r="L334" s="122"/>
      <c r="M334" s="122"/>
    </row>
    <row r="335" spans="1:13" s="132" customFormat="1" ht="12" customHeight="1" x14ac:dyDescent="0.3">
      <c r="A335" s="148"/>
      <c r="B335" s="71" t="str">
        <f>IF(A335="","",VLOOKUP(A335,'Database Lab+Equip'!$F:$I,2,FALSE))</f>
        <v/>
      </c>
      <c r="C335" s="142"/>
      <c r="D335" s="272"/>
      <c r="E335" s="140">
        <f>IF(A335="",0,VLOOKUP(A335,'Database Lab+Equip'!$F:$I,3,FALSE))</f>
        <v>0</v>
      </c>
      <c r="F335" s="140">
        <f>IF(A335="",0,VLOOKUP(A335,'Database Lab+Equip'!$F:$I,4,FALSE))</f>
        <v>0</v>
      </c>
      <c r="G335" s="140">
        <f t="shared" si="30"/>
        <v>0</v>
      </c>
      <c r="H335" s="140">
        <f t="shared" si="31"/>
        <v>0</v>
      </c>
      <c r="I335" s="140">
        <f t="shared" si="32"/>
        <v>0</v>
      </c>
      <c r="J335" s="84"/>
      <c r="K335" s="29"/>
      <c r="L335" s="122"/>
      <c r="M335" s="122"/>
    </row>
    <row r="336" spans="1:13" s="132" customFormat="1" ht="12" customHeight="1" x14ac:dyDescent="0.3">
      <c r="A336" s="148"/>
      <c r="B336" s="71" t="str">
        <f>IF(A336="","",VLOOKUP(A336,'Database Lab+Equip'!$F:$I,2,FALSE))</f>
        <v/>
      </c>
      <c r="C336" s="150"/>
      <c r="D336" s="273"/>
      <c r="E336" s="140">
        <f>IF(A336="",0,VLOOKUP(A336,'Database Lab+Equip'!$F:$I,3,FALSE))</f>
        <v>0</v>
      </c>
      <c r="F336" s="140">
        <f>IF(A336="",0,VLOOKUP(A336,'Database Lab+Equip'!$F:$I,4,FALSE))</f>
        <v>0</v>
      </c>
      <c r="G336" s="140">
        <f t="shared" si="30"/>
        <v>0</v>
      </c>
      <c r="H336" s="140">
        <f t="shared" si="31"/>
        <v>0</v>
      </c>
      <c r="I336" s="140">
        <f t="shared" si="32"/>
        <v>0</v>
      </c>
      <c r="J336" s="152" t="s">
        <v>108</v>
      </c>
      <c r="K336" s="153" t="s">
        <v>109</v>
      </c>
      <c r="L336" s="31"/>
      <c r="M336" s="125">
        <f>SUM(I329:I336)-SUM(G329:G336)</f>
        <v>0</v>
      </c>
    </row>
    <row r="337" spans="1:13" s="132" customFormat="1" ht="12" customHeight="1" x14ac:dyDescent="0.3">
      <c r="A337" s="72"/>
      <c r="B337" s="143"/>
      <c r="C337" s="130"/>
      <c r="D337" s="265"/>
      <c r="E337" s="122"/>
      <c r="F337" s="122"/>
      <c r="G337" s="21">
        <f>SUM(G329:G336)</f>
        <v>0</v>
      </c>
      <c r="H337" s="21">
        <f>SUM(H329:H336)</f>
        <v>0</v>
      </c>
      <c r="I337" s="21">
        <f>SUM(I329:I336)</f>
        <v>0</v>
      </c>
      <c r="J337" s="21">
        <f>G337</f>
        <v>0</v>
      </c>
      <c r="K337" s="34">
        <f>I337</f>
        <v>0</v>
      </c>
      <c r="L337" s="154">
        <f>IF(J337=0,0,(K337-J337)/J337)</f>
        <v>0</v>
      </c>
      <c r="M337" s="187">
        <f>M325+M336</f>
        <v>0</v>
      </c>
    </row>
    <row r="338" spans="1:13" s="31" customFormat="1" ht="13.8" x14ac:dyDescent="0.3">
      <c r="A338" s="110"/>
      <c r="B338" s="115"/>
      <c r="C338" s="116"/>
      <c r="D338" s="274"/>
      <c r="E338" s="117"/>
      <c r="F338" s="117"/>
      <c r="G338" s="118"/>
      <c r="H338" s="110"/>
      <c r="I338" s="161"/>
      <c r="J338" s="162">
        <f>J326+J337</f>
        <v>0</v>
      </c>
      <c r="K338" s="162">
        <f>K326+K337</f>
        <v>0</v>
      </c>
      <c r="L338" s="119">
        <f>IF(J338=0,0,(K338-J338)/K338)</f>
        <v>0</v>
      </c>
      <c r="M338" s="173"/>
    </row>
    <row r="339" spans="1:13" s="31" customFormat="1" ht="13.8" x14ac:dyDescent="0.3">
      <c r="A339" s="112"/>
      <c r="B339" s="223"/>
      <c r="C339" s="214"/>
      <c r="D339" s="275"/>
      <c r="E339" s="215"/>
      <c r="F339" s="215"/>
      <c r="G339" s="216"/>
      <c r="H339" s="112"/>
      <c r="I339" s="217"/>
      <c r="J339" s="218"/>
      <c r="K339" s="218"/>
      <c r="L339" s="212"/>
      <c r="M339" s="213"/>
    </row>
    <row r="340" spans="1:13" ht="15.6" x14ac:dyDescent="0.3">
      <c r="B340" s="241" t="s">
        <v>177</v>
      </c>
      <c r="C340" s="129"/>
      <c r="D340" s="129"/>
      <c r="E340" s="129"/>
      <c r="F340" s="129"/>
      <c r="H340" s="132"/>
      <c r="I340" s="132"/>
      <c r="L340" s="221" t="s">
        <v>85</v>
      </c>
      <c r="M340" s="222"/>
    </row>
    <row r="341" spans="1:13" s="132" customFormat="1" ht="12" customHeight="1" x14ac:dyDescent="0.3">
      <c r="A341" s="72"/>
      <c r="B341" s="24" t="s">
        <v>135</v>
      </c>
      <c r="C341" s="22"/>
      <c r="D341" s="266" t="s">
        <v>87</v>
      </c>
      <c r="E341" s="23"/>
      <c r="F341" s="133"/>
      <c r="H341" s="14"/>
      <c r="I341" s="14"/>
      <c r="J341" s="14"/>
      <c r="K341" s="14"/>
      <c r="L341" s="219" t="s">
        <v>88</v>
      </c>
      <c r="M341" s="220"/>
    </row>
    <row r="342" spans="1:13" s="132" customFormat="1" ht="12" customHeight="1" x14ac:dyDescent="0.3">
      <c r="A342" s="72"/>
      <c r="B342" s="24" t="s">
        <v>141</v>
      </c>
      <c r="C342" s="25"/>
      <c r="D342" s="266" t="s">
        <v>89</v>
      </c>
      <c r="E342" s="23"/>
      <c r="K342" s="14"/>
      <c r="L342" s="126" t="s">
        <v>90</v>
      </c>
      <c r="M342" s="127"/>
    </row>
    <row r="343" spans="1:13" s="132" customFormat="1" ht="12" customHeight="1" x14ac:dyDescent="0.3">
      <c r="A343" s="72"/>
      <c r="B343" s="24" t="s">
        <v>142</v>
      </c>
      <c r="C343" s="27" t="str">
        <f>IF(C341="","",IF(E343="","",C341/E343+C342))</f>
        <v/>
      </c>
      <c r="D343" s="266" t="s">
        <v>91</v>
      </c>
      <c r="E343" s="23"/>
      <c r="I343" s="26"/>
      <c r="J343" s="26"/>
      <c r="K343" s="14"/>
      <c r="L343" s="126" t="s">
        <v>92</v>
      </c>
      <c r="M343" s="127"/>
    </row>
    <row r="344" spans="1:13" s="132" customFormat="1" ht="12" customHeight="1" x14ac:dyDescent="0.3">
      <c r="A344" s="72"/>
      <c r="B344" s="59" t="s">
        <v>143</v>
      </c>
      <c r="C344" s="260"/>
      <c r="D344" s="266" t="s">
        <v>25</v>
      </c>
      <c r="E344" s="128">
        <f>SUM(C349:C353)</f>
        <v>0</v>
      </c>
      <c r="I344" s="26"/>
      <c r="J344" s="26"/>
      <c r="K344" s="14"/>
      <c r="L344" s="93" t="s">
        <v>94</v>
      </c>
      <c r="M344" s="94"/>
    </row>
    <row r="345" spans="1:13" s="132" customFormat="1" ht="12" customHeight="1" x14ac:dyDescent="0.3">
      <c r="A345" s="72"/>
      <c r="B345" s="59" t="s">
        <v>144</v>
      </c>
      <c r="C345" s="25"/>
      <c r="D345" s="266" t="s">
        <v>44</v>
      </c>
      <c r="E345" s="244">
        <f>IF(E344=0,0,(C343/C344)/C345)</f>
        <v>0</v>
      </c>
      <c r="I345" s="26"/>
      <c r="J345" s="26"/>
      <c r="K345" s="14"/>
      <c r="L345" s="57" t="s">
        <v>70</v>
      </c>
      <c r="M345" s="58">
        <f>M9</f>
        <v>0.05</v>
      </c>
    </row>
    <row r="346" spans="1:13" s="132" customFormat="1" ht="12" customHeight="1" x14ac:dyDescent="0.3">
      <c r="A346" s="72"/>
      <c r="B346" s="28"/>
      <c r="C346" s="122"/>
      <c r="D346" s="267"/>
      <c r="E346" s="211"/>
      <c r="I346" s="26"/>
      <c r="J346" s="26"/>
      <c r="K346" s="14"/>
      <c r="L346" s="57" t="s">
        <v>80</v>
      </c>
      <c r="M346" s="58">
        <f>M10</f>
        <v>0.05</v>
      </c>
    </row>
    <row r="347" spans="1:13" s="132" customFormat="1" ht="12" customHeight="1" x14ac:dyDescent="0.3">
      <c r="A347" s="72"/>
      <c r="B347" s="28"/>
      <c r="C347" s="28"/>
      <c r="D347" s="43"/>
      <c r="H347" s="29"/>
      <c r="I347" s="29"/>
      <c r="J347" s="29"/>
      <c r="K347" s="29"/>
      <c r="M347" s="71"/>
    </row>
    <row r="348" spans="1:13" s="132" customFormat="1" ht="27.6" x14ac:dyDescent="0.3">
      <c r="A348" s="246" t="s">
        <v>145</v>
      </c>
      <c r="B348" s="246" t="s">
        <v>70</v>
      </c>
      <c r="C348" s="48" t="s">
        <v>47</v>
      </c>
      <c r="D348" s="135" t="s">
        <v>97</v>
      </c>
      <c r="E348" s="48" t="s">
        <v>98</v>
      </c>
      <c r="F348" s="48" t="s">
        <v>99</v>
      </c>
      <c r="G348" s="48" t="s">
        <v>22</v>
      </c>
      <c r="H348" s="48" t="s">
        <v>23</v>
      </c>
      <c r="I348" s="135" t="s">
        <v>100</v>
      </c>
      <c r="J348" s="136"/>
      <c r="K348" s="52"/>
      <c r="L348" s="48" t="s">
        <v>101</v>
      </c>
      <c r="M348" s="48" t="s">
        <v>0</v>
      </c>
    </row>
    <row r="349" spans="1:13" s="132" customFormat="1" ht="12" customHeight="1" x14ac:dyDescent="0.3">
      <c r="A349" s="137"/>
      <c r="B349" s="71" t="str">
        <f>IF(A349="","",VLOOKUP(A349,'Database Lab+Equip'!$A:$D,2,FALSE))</f>
        <v/>
      </c>
      <c r="C349" s="139"/>
      <c r="D349" s="268"/>
      <c r="E349" s="140">
        <f>IF(A349="",0,VLOOKUP(A349,'Database Lab+Equip'!$A:$D,3,FALSE))</f>
        <v>0</v>
      </c>
      <c r="F349" s="140">
        <f>IF(A349="",0,VLOOKUP(A349,'Database Lab+Equip'!$A:$D,4,FALSE))</f>
        <v>0</v>
      </c>
      <c r="G349" s="140">
        <f>IF(A349="",0,C349*D349*E349*E$345)</f>
        <v>0</v>
      </c>
      <c r="H349" s="140">
        <f>IF(A349="",0,C349*D349*F349*E$345)</f>
        <v>0</v>
      </c>
      <c r="I349" s="140">
        <f>(H349*$M$345)+H349</f>
        <v>0</v>
      </c>
      <c r="J349" s="154"/>
      <c r="K349" s="26"/>
      <c r="M349" s="84"/>
    </row>
    <row r="350" spans="1:13" s="132" customFormat="1" ht="12" customHeight="1" x14ac:dyDescent="0.3">
      <c r="A350" s="137"/>
      <c r="B350" s="71" t="str">
        <f>IF(A350="","",VLOOKUP(A350,'Database Lab+Equip'!$A:$D,2,FALSE))</f>
        <v/>
      </c>
      <c r="C350" s="142"/>
      <c r="D350" s="269"/>
      <c r="E350" s="140">
        <f>IF(A350="",0,VLOOKUP(A350,'Database Lab+Equip'!$A:$D,3,FALSE))</f>
        <v>0</v>
      </c>
      <c r="F350" s="140">
        <f>IF(A350="",0,VLOOKUP(A350,'Database Lab+Equip'!$A:$D,4,FALSE))</f>
        <v>0</v>
      </c>
      <c r="G350" s="140">
        <f>IF(A350="",0,C350*D350*E350*E$345)</f>
        <v>0</v>
      </c>
      <c r="H350" s="140">
        <f>IF(A350="",0,C350*D350*F350*E$345)</f>
        <v>0</v>
      </c>
      <c r="I350" s="140">
        <f>(H350*$M$345)+H350</f>
        <v>0</v>
      </c>
      <c r="J350" s="154"/>
      <c r="K350" s="26"/>
      <c r="M350" s="122"/>
    </row>
    <row r="351" spans="1:13" s="132" customFormat="1" ht="12" customHeight="1" x14ac:dyDescent="0.3">
      <c r="A351" s="137"/>
      <c r="B351" s="71" t="str">
        <f>IF(A351="","",VLOOKUP(A351,'Database Lab+Equip'!$A:$D,2,FALSE))</f>
        <v/>
      </c>
      <c r="C351" s="142"/>
      <c r="D351" s="269"/>
      <c r="E351" s="140">
        <f>IF(A351="",0,VLOOKUP(A351,'Database Lab+Equip'!$A:$D,3,FALSE))</f>
        <v>0</v>
      </c>
      <c r="F351" s="140">
        <f>IF(A351="",0,VLOOKUP(A351,'Database Lab+Equip'!$A:$D,4,FALSE))</f>
        <v>0</v>
      </c>
      <c r="G351" s="140">
        <f>IF(A351="",0,C351*D351*E351*E$345)</f>
        <v>0</v>
      </c>
      <c r="H351" s="140">
        <f>IF(A351="",0,C351*D351*F351*E$345)</f>
        <v>0</v>
      </c>
      <c r="I351" s="140">
        <f>(H351*$M$345)+H351</f>
        <v>0</v>
      </c>
      <c r="J351" s="154"/>
      <c r="K351" s="26"/>
      <c r="M351" s="122"/>
    </row>
    <row r="352" spans="1:13" s="132" customFormat="1" ht="12" customHeight="1" x14ac:dyDescent="0.3">
      <c r="A352" s="137"/>
      <c r="B352" s="71" t="str">
        <f>IF(A352="","",VLOOKUP(A352,'Database Lab+Equip'!$A:$D,2,FALSE))</f>
        <v/>
      </c>
      <c r="C352" s="142"/>
      <c r="D352" s="269"/>
      <c r="E352" s="140">
        <f>IF(A352="",0,VLOOKUP(A352,'Database Lab+Equip'!$A:$D,3,FALSE))</f>
        <v>0</v>
      </c>
      <c r="F352" s="140">
        <f>IF(A352="",0,VLOOKUP(A352,'Database Lab+Equip'!$A:$D,4,FALSE))</f>
        <v>0</v>
      </c>
      <c r="G352" s="140">
        <f>IF(A352="",0,C352*D352*E352*E$345)</f>
        <v>0</v>
      </c>
      <c r="H352" s="140">
        <f>IF(A352="",0,C352*D352*F352*E$345)</f>
        <v>0</v>
      </c>
      <c r="I352" s="140">
        <f>(H352*$M$345)+H352</f>
        <v>0</v>
      </c>
      <c r="J352" s="154"/>
      <c r="K352" s="26"/>
      <c r="M352" s="122"/>
    </row>
    <row r="353" spans="1:13" s="132" customFormat="1" ht="12" customHeight="1" x14ac:dyDescent="0.3">
      <c r="A353" s="137"/>
      <c r="B353" s="71" t="str">
        <f>IF(A353="","",VLOOKUP(A353,'Database Lab+Equip'!$A:$D,2,FALSE))</f>
        <v/>
      </c>
      <c r="C353" s="142"/>
      <c r="D353" s="269"/>
      <c r="E353" s="140">
        <f>IF(A353="",0,VLOOKUP(A353,'Database Lab+Equip'!$A:$D,3,FALSE))</f>
        <v>0</v>
      </c>
      <c r="F353" s="140">
        <f>IF(A353="",0,VLOOKUP(A353,'Database Lab+Equip'!$A:$D,4,FALSE))</f>
        <v>0</v>
      </c>
      <c r="G353" s="140">
        <f>IF(A353="",0,C353*D353*E353*E$345)</f>
        <v>0</v>
      </c>
      <c r="H353" s="140">
        <f>IF(A353="",0,C353*D353*F353*E$345)</f>
        <v>0</v>
      </c>
      <c r="I353" s="140">
        <f>(H353*$M$345)+H353</f>
        <v>0</v>
      </c>
      <c r="J353" s="152" t="s">
        <v>108</v>
      </c>
      <c r="K353" s="153" t="s">
        <v>109</v>
      </c>
      <c r="L353" s="31"/>
      <c r="M353" s="123">
        <f>SUM(I349:I353)-SUM(G349:G353)</f>
        <v>0</v>
      </c>
    </row>
    <row r="354" spans="1:13" s="132" customFormat="1" ht="12" customHeight="1" x14ac:dyDescent="0.3">
      <c r="A354" s="35"/>
      <c r="C354" s="140"/>
      <c r="D354" s="270"/>
      <c r="E354" s="140"/>
      <c r="F354" s="140"/>
      <c r="G354" s="21">
        <f>SUM(G349:G353)</f>
        <v>0</v>
      </c>
      <c r="H354" s="21">
        <f>SUM(H349:H353)</f>
        <v>0</v>
      </c>
      <c r="I354" s="21">
        <f>SUM(I349:I353)</f>
        <v>0</v>
      </c>
      <c r="J354" s="21">
        <f>G354</f>
        <v>0</v>
      </c>
      <c r="K354" s="34">
        <f>I354</f>
        <v>0</v>
      </c>
      <c r="L354" s="154">
        <f>IF(J354=0,0,(K354-J354)/J354)</f>
        <v>0</v>
      </c>
      <c r="M354" s="122"/>
    </row>
    <row r="355" spans="1:13" s="132" customFormat="1" ht="12" customHeight="1" x14ac:dyDescent="0.3">
      <c r="A355" s="35"/>
      <c r="B355" s="71"/>
      <c r="C355" s="122"/>
      <c r="D355" s="265"/>
      <c r="E355" s="122"/>
      <c r="F355" s="122"/>
      <c r="G355" s="122"/>
      <c r="H355" s="122"/>
      <c r="I355" s="144"/>
      <c r="J355" s="84"/>
      <c r="K355" s="29"/>
      <c r="L355" s="122"/>
      <c r="M355" s="122"/>
    </row>
    <row r="356" spans="1:13" s="132" customFormat="1" ht="41.4" x14ac:dyDescent="0.3">
      <c r="A356" s="246" t="s">
        <v>96</v>
      </c>
      <c r="B356" s="246" t="s">
        <v>80</v>
      </c>
      <c r="C356" s="48" t="s">
        <v>47</v>
      </c>
      <c r="D356" s="135" t="s">
        <v>110</v>
      </c>
      <c r="E356" s="48" t="s">
        <v>98</v>
      </c>
      <c r="F356" s="48" t="s">
        <v>99</v>
      </c>
      <c r="G356" s="48" t="s">
        <v>22</v>
      </c>
      <c r="H356" s="48" t="s">
        <v>23</v>
      </c>
      <c r="I356" s="135" t="s">
        <v>100</v>
      </c>
      <c r="J356" s="145"/>
      <c r="K356" s="48"/>
      <c r="L356" s="124"/>
      <c r="M356" s="124"/>
    </row>
    <row r="357" spans="1:13" s="132" customFormat="1" ht="12" customHeight="1" x14ac:dyDescent="0.3">
      <c r="A357" s="148"/>
      <c r="B357" s="71" t="str">
        <f>IF(A357="","",VLOOKUP(A357,'Database Lab+Equip'!$F:$I,2,FALSE))</f>
        <v/>
      </c>
      <c r="C357" s="139"/>
      <c r="D357" s="271"/>
      <c r="E357" s="140">
        <f>IF(A357="",0,VLOOKUP(A357,'Database Lab+Equip'!$F:$I,3,FALSE))</f>
        <v>0</v>
      </c>
      <c r="F357" s="140">
        <f>IF(A357="",0,VLOOKUP(A357,'Database Lab+Equip'!$F:$I,4,FALSE))</f>
        <v>0</v>
      </c>
      <c r="G357" s="140">
        <f>IF(A357="",0,C357*D357*E357*E$345)</f>
        <v>0</v>
      </c>
      <c r="H357" s="140">
        <f>IF(A357="",0,C357*D357*F357*E$345)</f>
        <v>0</v>
      </c>
      <c r="I357" s="140">
        <f>(H357*$M$346)+H357</f>
        <v>0</v>
      </c>
      <c r="J357" s="84"/>
      <c r="K357" s="29"/>
      <c r="L357" s="122"/>
      <c r="M357" s="84"/>
    </row>
    <row r="358" spans="1:13" s="132" customFormat="1" ht="12" customHeight="1" x14ac:dyDescent="0.3">
      <c r="A358" s="148"/>
      <c r="B358" s="71" t="str">
        <f>IF(A358="","",VLOOKUP(A358,'Database Lab+Equip'!$F:$I,2,FALSE))</f>
        <v/>
      </c>
      <c r="C358" s="142"/>
      <c r="D358" s="272"/>
      <c r="E358" s="140">
        <f>IF(A358="",0,VLOOKUP(A358,'Database Lab+Equip'!$F:$I,3,FALSE))</f>
        <v>0</v>
      </c>
      <c r="F358" s="140">
        <f>IF(A358="",0,VLOOKUP(A358,'Database Lab+Equip'!$F:$I,4,FALSE))</f>
        <v>0</v>
      </c>
      <c r="G358" s="140">
        <f t="shared" ref="G358:G364" si="33">IF(A358="",0,C358*D358*E358*E$345)</f>
        <v>0</v>
      </c>
      <c r="H358" s="140">
        <f t="shared" ref="H358:H364" si="34">IF(A358="",0,C358*D358*F358*E$345)</f>
        <v>0</v>
      </c>
      <c r="I358" s="140">
        <f t="shared" ref="I358:I364" si="35">(H358*$M$346)+H358</f>
        <v>0</v>
      </c>
      <c r="J358" s="122"/>
      <c r="K358" s="29"/>
      <c r="L358" s="122"/>
      <c r="M358" s="122"/>
    </row>
    <row r="359" spans="1:13" s="132" customFormat="1" ht="12" customHeight="1" x14ac:dyDescent="0.3">
      <c r="A359" s="148"/>
      <c r="B359" s="71" t="str">
        <f>IF(A359="","",VLOOKUP(A359,'Database Lab+Equip'!$F:$I,2,FALSE))</f>
        <v/>
      </c>
      <c r="C359" s="142"/>
      <c r="D359" s="272"/>
      <c r="E359" s="140">
        <f>IF(A359="",0,VLOOKUP(A359,'Database Lab+Equip'!$F:$I,3,FALSE))</f>
        <v>0</v>
      </c>
      <c r="F359" s="140">
        <f>IF(A359="",0,VLOOKUP(A359,'Database Lab+Equip'!$F:$I,4,FALSE))</f>
        <v>0</v>
      </c>
      <c r="G359" s="140">
        <f t="shared" si="33"/>
        <v>0</v>
      </c>
      <c r="H359" s="140">
        <f t="shared" si="34"/>
        <v>0</v>
      </c>
      <c r="I359" s="140">
        <f t="shared" si="35"/>
        <v>0</v>
      </c>
      <c r="J359" s="84"/>
      <c r="K359" s="29"/>
      <c r="L359" s="122"/>
      <c r="M359" s="122"/>
    </row>
    <row r="360" spans="1:13" s="132" customFormat="1" ht="12" customHeight="1" x14ac:dyDescent="0.3">
      <c r="A360" s="148"/>
      <c r="B360" s="71" t="str">
        <f>IF(A360="","",VLOOKUP(A360,'Database Lab+Equip'!$F:$I,2,FALSE))</f>
        <v/>
      </c>
      <c r="C360" s="142"/>
      <c r="D360" s="272"/>
      <c r="E360" s="140">
        <f>IF(A360="",0,VLOOKUP(A360,'Database Lab+Equip'!$F:$I,3,FALSE))</f>
        <v>0</v>
      </c>
      <c r="F360" s="140">
        <f>IF(A360="",0,VLOOKUP(A360,'Database Lab+Equip'!$F:$I,4,FALSE))</f>
        <v>0</v>
      </c>
      <c r="G360" s="140">
        <f t="shared" si="33"/>
        <v>0</v>
      </c>
      <c r="H360" s="140">
        <f t="shared" si="34"/>
        <v>0</v>
      </c>
      <c r="I360" s="140">
        <f t="shared" si="35"/>
        <v>0</v>
      </c>
      <c r="J360" s="84"/>
      <c r="K360" s="29"/>
      <c r="L360" s="122"/>
      <c r="M360" s="122"/>
    </row>
    <row r="361" spans="1:13" s="132" customFormat="1" ht="12" customHeight="1" x14ac:dyDescent="0.3">
      <c r="A361" s="148"/>
      <c r="B361" s="71" t="str">
        <f>IF(A361="","",VLOOKUP(A361,'Database Lab+Equip'!$F:$I,2,FALSE))</f>
        <v/>
      </c>
      <c r="C361" s="142"/>
      <c r="D361" s="272"/>
      <c r="E361" s="140">
        <f>IF(A361="",0,VLOOKUP(A361,'Database Lab+Equip'!$F:$I,3,FALSE))</f>
        <v>0</v>
      </c>
      <c r="F361" s="140">
        <f>IF(A361="",0,VLOOKUP(A361,'Database Lab+Equip'!$F:$I,4,FALSE))</f>
        <v>0</v>
      </c>
      <c r="G361" s="140">
        <f t="shared" si="33"/>
        <v>0</v>
      </c>
      <c r="H361" s="140">
        <f t="shared" si="34"/>
        <v>0</v>
      </c>
      <c r="I361" s="140">
        <f t="shared" si="35"/>
        <v>0</v>
      </c>
      <c r="J361" s="84"/>
      <c r="K361" s="29"/>
      <c r="L361" s="122"/>
      <c r="M361" s="122"/>
    </row>
    <row r="362" spans="1:13" s="132" customFormat="1" ht="12" customHeight="1" x14ac:dyDescent="0.3">
      <c r="A362" s="148"/>
      <c r="B362" s="71" t="str">
        <f>IF(A362="","",VLOOKUP(A362,'Database Lab+Equip'!$F:$I,2,FALSE))</f>
        <v/>
      </c>
      <c r="C362" s="142"/>
      <c r="D362" s="272"/>
      <c r="E362" s="140">
        <f>IF(A362="",0,VLOOKUP(A362,'Database Lab+Equip'!$F:$I,3,FALSE))</f>
        <v>0</v>
      </c>
      <c r="F362" s="140">
        <f>IF(A362="",0,VLOOKUP(A362,'Database Lab+Equip'!$F:$I,4,FALSE))</f>
        <v>0</v>
      </c>
      <c r="G362" s="140">
        <f t="shared" si="33"/>
        <v>0</v>
      </c>
      <c r="H362" s="140">
        <f t="shared" si="34"/>
        <v>0</v>
      </c>
      <c r="I362" s="140">
        <f t="shared" si="35"/>
        <v>0</v>
      </c>
      <c r="J362" s="84"/>
      <c r="K362" s="29"/>
      <c r="L362" s="122"/>
      <c r="M362" s="122"/>
    </row>
    <row r="363" spans="1:13" s="132" customFormat="1" ht="12" customHeight="1" x14ac:dyDescent="0.3">
      <c r="A363" s="148"/>
      <c r="B363" s="71" t="str">
        <f>IF(A363="","",VLOOKUP(A363,'Database Lab+Equip'!$F:$I,2,FALSE))</f>
        <v/>
      </c>
      <c r="C363" s="142"/>
      <c r="D363" s="272"/>
      <c r="E363" s="140">
        <f>IF(A363="",0,VLOOKUP(A363,'Database Lab+Equip'!$F:$I,3,FALSE))</f>
        <v>0</v>
      </c>
      <c r="F363" s="140">
        <f>IF(A363="",0,VLOOKUP(A363,'Database Lab+Equip'!$F:$I,4,FALSE))</f>
        <v>0</v>
      </c>
      <c r="G363" s="140">
        <f t="shared" si="33"/>
        <v>0</v>
      </c>
      <c r="H363" s="140">
        <f t="shared" si="34"/>
        <v>0</v>
      </c>
      <c r="I363" s="140">
        <f t="shared" si="35"/>
        <v>0</v>
      </c>
      <c r="J363" s="84"/>
      <c r="K363" s="29"/>
      <c r="L363" s="122"/>
      <c r="M363" s="122"/>
    </row>
    <row r="364" spans="1:13" s="132" customFormat="1" ht="12" customHeight="1" x14ac:dyDescent="0.3">
      <c r="A364" s="148"/>
      <c r="B364" s="71" t="str">
        <f>IF(A364="","",VLOOKUP(A364,'Database Lab+Equip'!$F:$I,2,FALSE))</f>
        <v/>
      </c>
      <c r="C364" s="150"/>
      <c r="D364" s="273"/>
      <c r="E364" s="140">
        <f>IF(A364="",0,VLOOKUP(A364,'Database Lab+Equip'!$F:$I,3,FALSE))</f>
        <v>0</v>
      </c>
      <c r="F364" s="140">
        <f>IF(A364="",0,VLOOKUP(A364,'Database Lab+Equip'!$F:$I,4,FALSE))</f>
        <v>0</v>
      </c>
      <c r="G364" s="140">
        <f t="shared" si="33"/>
        <v>0</v>
      </c>
      <c r="H364" s="140">
        <f t="shared" si="34"/>
        <v>0</v>
      </c>
      <c r="I364" s="140">
        <f t="shared" si="35"/>
        <v>0</v>
      </c>
      <c r="J364" s="152" t="s">
        <v>108</v>
      </c>
      <c r="K364" s="153" t="s">
        <v>109</v>
      </c>
      <c r="L364" s="31"/>
      <c r="M364" s="125">
        <f>SUM(I357:I364)-SUM(G357:G364)</f>
        <v>0</v>
      </c>
    </row>
    <row r="365" spans="1:13" s="132" customFormat="1" ht="12" customHeight="1" x14ac:dyDescent="0.3">
      <c r="A365" s="72"/>
      <c r="B365" s="143"/>
      <c r="C365" s="130"/>
      <c r="D365" s="265"/>
      <c r="E365" s="122"/>
      <c r="F365" s="122"/>
      <c r="G365" s="21">
        <f>SUM(G357:G364)</f>
        <v>0</v>
      </c>
      <c r="H365" s="21">
        <f>SUM(H357:H364)</f>
        <v>0</v>
      </c>
      <c r="I365" s="21">
        <f>SUM(I357:I364)</f>
        <v>0</v>
      </c>
      <c r="J365" s="21">
        <f>G365</f>
        <v>0</v>
      </c>
      <c r="K365" s="34">
        <f>I365</f>
        <v>0</v>
      </c>
      <c r="L365" s="154">
        <f>IF(J365=0,0,(K365-J365)/J365)</f>
        <v>0</v>
      </c>
      <c r="M365" s="187">
        <f>M353+M364</f>
        <v>0</v>
      </c>
    </row>
    <row r="366" spans="1:13" s="31" customFormat="1" ht="13.8" x14ac:dyDescent="0.3">
      <c r="A366" s="110"/>
      <c r="B366" s="115"/>
      <c r="C366" s="116"/>
      <c r="D366" s="274"/>
      <c r="E366" s="117"/>
      <c r="F366" s="117"/>
      <c r="G366" s="118"/>
      <c r="H366" s="110"/>
      <c r="I366" s="161"/>
      <c r="J366" s="162">
        <f>J354+J365</f>
        <v>0</v>
      </c>
      <c r="K366" s="162">
        <f>K354+K365</f>
        <v>0</v>
      </c>
      <c r="L366" s="119">
        <f>IF(J366=0,0,(K366-J366)/K366)</f>
        <v>0</v>
      </c>
      <c r="M366" s="173"/>
    </row>
    <row r="367" spans="1:13" s="31" customFormat="1" ht="13.8" x14ac:dyDescent="0.3">
      <c r="A367" s="112"/>
      <c r="B367" s="223"/>
      <c r="C367" s="214"/>
      <c r="D367" s="275"/>
      <c r="E367" s="215"/>
      <c r="F367" s="215"/>
      <c r="G367" s="216"/>
      <c r="H367" s="112"/>
      <c r="I367" s="217"/>
      <c r="J367" s="218"/>
      <c r="K367" s="218"/>
      <c r="L367" s="212"/>
      <c r="M367" s="213"/>
    </row>
    <row r="368" spans="1:13" ht="15.6" x14ac:dyDescent="0.3">
      <c r="B368" s="241" t="s">
        <v>163</v>
      </c>
      <c r="C368" s="129"/>
      <c r="D368" s="129"/>
      <c r="E368" s="129"/>
      <c r="F368" s="129"/>
      <c r="H368" s="132"/>
      <c r="I368" s="132"/>
      <c r="L368" s="221" t="s">
        <v>85</v>
      </c>
      <c r="M368" s="222"/>
    </row>
    <row r="369" spans="1:13" s="132" customFormat="1" ht="12" customHeight="1" x14ac:dyDescent="0.3">
      <c r="A369" s="72"/>
      <c r="B369" s="24" t="s">
        <v>135</v>
      </c>
      <c r="C369" s="22"/>
      <c r="D369" s="266" t="s">
        <v>87</v>
      </c>
      <c r="E369" s="23"/>
      <c r="F369" s="133"/>
      <c r="H369" s="14"/>
      <c r="I369" s="14"/>
      <c r="J369" s="14"/>
      <c r="K369" s="14"/>
      <c r="L369" s="219" t="s">
        <v>88</v>
      </c>
      <c r="M369" s="220"/>
    </row>
    <row r="370" spans="1:13" s="132" customFormat="1" ht="12" customHeight="1" x14ac:dyDescent="0.3">
      <c r="A370" s="72"/>
      <c r="B370" s="24" t="s">
        <v>141</v>
      </c>
      <c r="C370" s="25"/>
      <c r="D370" s="266" t="s">
        <v>89</v>
      </c>
      <c r="E370" s="23"/>
      <c r="K370" s="14"/>
      <c r="L370" s="126" t="s">
        <v>90</v>
      </c>
      <c r="M370" s="127"/>
    </row>
    <row r="371" spans="1:13" s="132" customFormat="1" ht="12" customHeight="1" x14ac:dyDescent="0.3">
      <c r="A371" s="72"/>
      <c r="B371" s="24" t="s">
        <v>142</v>
      </c>
      <c r="C371" s="27" t="str">
        <f>IF(C369="","",IF(E371="","",C369/E371+C370))</f>
        <v/>
      </c>
      <c r="D371" s="266" t="s">
        <v>91</v>
      </c>
      <c r="E371" s="23"/>
      <c r="I371" s="26"/>
      <c r="J371" s="26"/>
      <c r="K371" s="14"/>
      <c r="L371" s="126" t="s">
        <v>92</v>
      </c>
      <c r="M371" s="127"/>
    </row>
    <row r="372" spans="1:13" s="132" customFormat="1" ht="12" customHeight="1" x14ac:dyDescent="0.3">
      <c r="A372" s="72"/>
      <c r="B372" s="59" t="s">
        <v>143</v>
      </c>
      <c r="C372" s="260"/>
      <c r="D372" s="266" t="s">
        <v>25</v>
      </c>
      <c r="E372" s="128">
        <f>SUM(C377:C381)</f>
        <v>0</v>
      </c>
      <c r="I372" s="26"/>
      <c r="J372" s="26"/>
      <c r="K372" s="14"/>
      <c r="L372" s="93" t="s">
        <v>94</v>
      </c>
      <c r="M372" s="94"/>
    </row>
    <row r="373" spans="1:13" s="132" customFormat="1" ht="12" customHeight="1" x14ac:dyDescent="0.3">
      <c r="A373" s="72"/>
      <c r="B373" s="59" t="s">
        <v>144</v>
      </c>
      <c r="C373" s="25"/>
      <c r="D373" s="266" t="s">
        <v>44</v>
      </c>
      <c r="E373" s="244">
        <f>IF(E372=0,0,(C371/C372)/C373)</f>
        <v>0</v>
      </c>
      <c r="I373" s="26"/>
      <c r="J373" s="26"/>
      <c r="K373" s="14"/>
      <c r="L373" s="57" t="s">
        <v>70</v>
      </c>
      <c r="M373" s="58">
        <f>M9</f>
        <v>0.05</v>
      </c>
    </row>
    <row r="374" spans="1:13" s="132" customFormat="1" ht="12" customHeight="1" x14ac:dyDescent="0.3">
      <c r="A374" s="72"/>
      <c r="B374" s="28"/>
      <c r="C374" s="122"/>
      <c r="D374" s="267"/>
      <c r="E374" s="211"/>
      <c r="I374" s="26"/>
      <c r="J374" s="26"/>
      <c r="K374" s="14"/>
      <c r="L374" s="57" t="s">
        <v>80</v>
      </c>
      <c r="M374" s="58">
        <f>M10</f>
        <v>0.05</v>
      </c>
    </row>
    <row r="375" spans="1:13" s="132" customFormat="1" ht="12" customHeight="1" x14ac:dyDescent="0.3">
      <c r="A375" s="72"/>
      <c r="B375" s="28"/>
      <c r="C375" s="28"/>
      <c r="D375" s="43"/>
      <c r="H375" s="29"/>
      <c r="I375" s="29"/>
      <c r="J375" s="29"/>
      <c r="K375" s="29"/>
      <c r="M375" s="71"/>
    </row>
    <row r="376" spans="1:13" s="132" customFormat="1" ht="27.6" x14ac:dyDescent="0.3">
      <c r="A376" s="246" t="s">
        <v>145</v>
      </c>
      <c r="B376" s="246" t="s">
        <v>70</v>
      </c>
      <c r="C376" s="48" t="s">
        <v>47</v>
      </c>
      <c r="D376" s="135" t="s">
        <v>97</v>
      </c>
      <c r="E376" s="48" t="s">
        <v>98</v>
      </c>
      <c r="F376" s="48" t="s">
        <v>99</v>
      </c>
      <c r="G376" s="48" t="s">
        <v>22</v>
      </c>
      <c r="H376" s="48" t="s">
        <v>23</v>
      </c>
      <c r="I376" s="135" t="s">
        <v>100</v>
      </c>
      <c r="J376" s="136"/>
      <c r="K376" s="52"/>
      <c r="L376" s="48" t="s">
        <v>101</v>
      </c>
      <c r="M376" s="48" t="s">
        <v>0</v>
      </c>
    </row>
    <row r="377" spans="1:13" s="132" customFormat="1" ht="12" customHeight="1" x14ac:dyDescent="0.3">
      <c r="A377" s="137"/>
      <c r="B377" s="71" t="str">
        <f>IF(A377="","",VLOOKUP(A377,'Database Lab+Equip'!$A:$D,2,FALSE))</f>
        <v/>
      </c>
      <c r="C377" s="139"/>
      <c r="D377" s="268"/>
      <c r="E377" s="140">
        <f>IF(A377="",0,VLOOKUP(A377,'Database Lab+Equip'!$A:$D,3,FALSE))</f>
        <v>0</v>
      </c>
      <c r="F377" s="140">
        <f>IF(A377="",0,VLOOKUP(A377,'Database Lab+Equip'!$A:$D,4,FALSE))</f>
        <v>0</v>
      </c>
      <c r="G377" s="140">
        <f>IF(A377="",0,C377*D377*E377*E$373)</f>
        <v>0</v>
      </c>
      <c r="H377" s="140">
        <f>IF(A377="",0,C377*D377*F377*E$373)</f>
        <v>0</v>
      </c>
      <c r="I377" s="140">
        <f>(H377*$M$373)+H377</f>
        <v>0</v>
      </c>
      <c r="J377" s="154"/>
      <c r="K377" s="26"/>
      <c r="M377" s="84"/>
    </row>
    <row r="378" spans="1:13" s="132" customFormat="1" ht="12" customHeight="1" x14ac:dyDescent="0.3">
      <c r="A378" s="137"/>
      <c r="B378" s="71" t="str">
        <f>IF(A378="","",VLOOKUP(A378,'Database Lab+Equip'!$A:$D,2,FALSE))</f>
        <v/>
      </c>
      <c r="C378" s="142"/>
      <c r="D378" s="269"/>
      <c r="E378" s="140">
        <f>IF(A378="",0,VLOOKUP(A378,'Database Lab+Equip'!$A:$D,3,FALSE))</f>
        <v>0</v>
      </c>
      <c r="F378" s="140">
        <f>IF(A378="",0,VLOOKUP(A378,'Database Lab+Equip'!$A:$D,4,FALSE))</f>
        <v>0</v>
      </c>
      <c r="G378" s="140">
        <f>IF(A378="",0,C378*D378*E378*E$373)</f>
        <v>0</v>
      </c>
      <c r="H378" s="140">
        <f>IF(A378="",0,C378*D378*F378*E$373)</f>
        <v>0</v>
      </c>
      <c r="I378" s="140">
        <f>(H378*$M$373)+H378</f>
        <v>0</v>
      </c>
      <c r="J378" s="154"/>
      <c r="K378" s="26"/>
      <c r="M378" s="122"/>
    </row>
    <row r="379" spans="1:13" s="132" customFormat="1" ht="12" customHeight="1" x14ac:dyDescent="0.3">
      <c r="A379" s="137"/>
      <c r="B379" s="71" t="str">
        <f>IF(A379="","",VLOOKUP(A379,'Database Lab+Equip'!$A:$D,2,FALSE))</f>
        <v/>
      </c>
      <c r="C379" s="142"/>
      <c r="D379" s="269"/>
      <c r="E379" s="140">
        <f>IF(A379="",0,VLOOKUP(A379,'Database Lab+Equip'!$A:$D,3,FALSE))</f>
        <v>0</v>
      </c>
      <c r="F379" s="140">
        <f>IF(A379="",0,VLOOKUP(A379,'Database Lab+Equip'!$A:$D,4,FALSE))</f>
        <v>0</v>
      </c>
      <c r="G379" s="140">
        <f>IF(A379="",0,C379*D379*E379*E$373)</f>
        <v>0</v>
      </c>
      <c r="H379" s="140">
        <f>IF(A379="",0,C379*D379*F379*E$373)</f>
        <v>0</v>
      </c>
      <c r="I379" s="140">
        <f>(H379*$M$373)+H379</f>
        <v>0</v>
      </c>
      <c r="J379" s="154"/>
      <c r="K379" s="26"/>
      <c r="M379" s="122"/>
    </row>
    <row r="380" spans="1:13" s="132" customFormat="1" ht="12" customHeight="1" x14ac:dyDescent="0.3">
      <c r="A380" s="137"/>
      <c r="B380" s="71" t="str">
        <f>IF(A380="","",VLOOKUP(A380,'Database Lab+Equip'!$A:$D,2,FALSE))</f>
        <v/>
      </c>
      <c r="C380" s="142"/>
      <c r="D380" s="269"/>
      <c r="E380" s="140">
        <f>IF(A380="",0,VLOOKUP(A380,'Database Lab+Equip'!$A:$D,3,FALSE))</f>
        <v>0</v>
      </c>
      <c r="F380" s="140">
        <f>IF(A380="",0,VLOOKUP(A380,'Database Lab+Equip'!$A:$D,4,FALSE))</f>
        <v>0</v>
      </c>
      <c r="G380" s="140">
        <f>IF(A380="",0,C380*D380*E380*E$373)</f>
        <v>0</v>
      </c>
      <c r="H380" s="140">
        <f>IF(A380="",0,C380*D380*F380*E$373)</f>
        <v>0</v>
      </c>
      <c r="I380" s="140">
        <f>(H380*$M$373)+H380</f>
        <v>0</v>
      </c>
      <c r="J380" s="154"/>
      <c r="K380" s="26"/>
      <c r="M380" s="122"/>
    </row>
    <row r="381" spans="1:13" s="132" customFormat="1" ht="12" customHeight="1" x14ac:dyDescent="0.3">
      <c r="A381" s="137"/>
      <c r="B381" s="71" t="str">
        <f>IF(A381="","",VLOOKUP(A381,'Database Lab+Equip'!$A:$D,2,FALSE))</f>
        <v/>
      </c>
      <c r="C381" s="142"/>
      <c r="D381" s="269"/>
      <c r="E381" s="140">
        <f>IF(A381="",0,VLOOKUP(A381,'Database Lab+Equip'!$A:$D,3,FALSE))</f>
        <v>0</v>
      </c>
      <c r="F381" s="140">
        <f>IF(A381="",0,VLOOKUP(A381,'Database Lab+Equip'!$A:$D,4,FALSE))</f>
        <v>0</v>
      </c>
      <c r="G381" s="140">
        <f>IF(A381="",0,C381*D381*E381*E$373)</f>
        <v>0</v>
      </c>
      <c r="H381" s="140">
        <f>IF(A381="",0,C381*D381*F381*E$373)</f>
        <v>0</v>
      </c>
      <c r="I381" s="140">
        <f>(H381*$M$373)+H381</f>
        <v>0</v>
      </c>
      <c r="J381" s="152" t="s">
        <v>108</v>
      </c>
      <c r="K381" s="153" t="s">
        <v>109</v>
      </c>
      <c r="L381" s="31"/>
      <c r="M381" s="123">
        <f>SUM(I377:I381)-SUM(G377:G381)</f>
        <v>0</v>
      </c>
    </row>
    <row r="382" spans="1:13" s="132" customFormat="1" ht="12" customHeight="1" x14ac:dyDescent="0.3">
      <c r="A382" s="35"/>
      <c r="C382" s="140"/>
      <c r="D382" s="270"/>
      <c r="E382" s="140"/>
      <c r="F382" s="140"/>
      <c r="G382" s="21">
        <f>SUM(G377:G381)</f>
        <v>0</v>
      </c>
      <c r="H382" s="21">
        <f>SUM(H377:H381)</f>
        <v>0</v>
      </c>
      <c r="I382" s="21">
        <f>SUM(I377:I381)</f>
        <v>0</v>
      </c>
      <c r="J382" s="21">
        <f>G382</f>
        <v>0</v>
      </c>
      <c r="K382" s="34">
        <f>I382</f>
        <v>0</v>
      </c>
      <c r="L382" s="154">
        <f>IF(J382=0,0,(K382-J382)/J382)</f>
        <v>0</v>
      </c>
      <c r="M382" s="122"/>
    </row>
    <row r="383" spans="1:13" s="132" customFormat="1" ht="12" customHeight="1" x14ac:dyDescent="0.3">
      <c r="A383" s="35"/>
      <c r="B383" s="71"/>
      <c r="C383" s="122"/>
      <c r="D383" s="265"/>
      <c r="E383" s="122"/>
      <c r="F383" s="122"/>
      <c r="G383" s="122"/>
      <c r="H383" s="122"/>
      <c r="I383" s="144"/>
      <c r="J383" s="84"/>
      <c r="K383" s="29"/>
      <c r="L383" s="122"/>
      <c r="M383" s="122"/>
    </row>
    <row r="384" spans="1:13" s="132" customFormat="1" ht="41.4" x14ac:dyDescent="0.3">
      <c r="A384" s="246" t="s">
        <v>96</v>
      </c>
      <c r="B384" s="246" t="s">
        <v>80</v>
      </c>
      <c r="C384" s="48" t="s">
        <v>47</v>
      </c>
      <c r="D384" s="135" t="s">
        <v>110</v>
      </c>
      <c r="E384" s="48" t="s">
        <v>98</v>
      </c>
      <c r="F384" s="48" t="s">
        <v>99</v>
      </c>
      <c r="G384" s="48" t="s">
        <v>22</v>
      </c>
      <c r="H384" s="48" t="s">
        <v>23</v>
      </c>
      <c r="I384" s="135" t="s">
        <v>100</v>
      </c>
      <c r="J384" s="145"/>
      <c r="K384" s="48"/>
      <c r="L384" s="124"/>
      <c r="M384" s="124"/>
    </row>
    <row r="385" spans="1:13" s="132" customFormat="1" ht="12" customHeight="1" x14ac:dyDescent="0.3">
      <c r="A385" s="148"/>
      <c r="B385" s="71" t="str">
        <f>IF(A385="","",VLOOKUP(A385,'Database Lab+Equip'!$F:$I,2,FALSE))</f>
        <v/>
      </c>
      <c r="C385" s="139"/>
      <c r="D385" s="271"/>
      <c r="E385" s="140">
        <f>IF(A385="",0,VLOOKUP(A385,'Database Lab+Equip'!$F:$I,3,FALSE))</f>
        <v>0</v>
      </c>
      <c r="F385" s="140">
        <f>IF(A385="",0,VLOOKUP(A385,'Database Lab+Equip'!$F:$I,4,FALSE))</f>
        <v>0</v>
      </c>
      <c r="G385" s="140">
        <f>IF(A385="",0,C385*D385*E385*E$373)</f>
        <v>0</v>
      </c>
      <c r="H385" s="140">
        <f>IF(A385="",0,C385*D385*F385*E$373)</f>
        <v>0</v>
      </c>
      <c r="I385" s="140">
        <f>(H385*$M$374)+H385</f>
        <v>0</v>
      </c>
      <c r="J385" s="84"/>
      <c r="K385" s="29"/>
      <c r="L385" s="122"/>
      <c r="M385" s="84"/>
    </row>
    <row r="386" spans="1:13" s="132" customFormat="1" ht="12" customHeight="1" x14ac:dyDescent="0.3">
      <c r="A386" s="148"/>
      <c r="B386" s="71" t="str">
        <f>IF(A386="","",VLOOKUP(A386,'Database Lab+Equip'!$F:$I,2,FALSE))</f>
        <v/>
      </c>
      <c r="C386" s="142"/>
      <c r="D386" s="272"/>
      <c r="E386" s="140">
        <f>IF(A386="",0,VLOOKUP(A386,'Database Lab+Equip'!$F:$I,3,FALSE))</f>
        <v>0</v>
      </c>
      <c r="F386" s="140">
        <f>IF(A386="",0,VLOOKUP(A386,'Database Lab+Equip'!$F:$I,4,FALSE))</f>
        <v>0</v>
      </c>
      <c r="G386" s="140">
        <f t="shared" ref="G386:G392" si="36">IF(A386="",0,C386*D386*E386*E$373)</f>
        <v>0</v>
      </c>
      <c r="H386" s="140">
        <f t="shared" ref="H386:H392" si="37">IF(A386="",0,C386*D386*F386*E$373)</f>
        <v>0</v>
      </c>
      <c r="I386" s="140">
        <f t="shared" ref="I386:I392" si="38">(H386*$M$374)+H386</f>
        <v>0</v>
      </c>
      <c r="J386" s="122"/>
      <c r="K386" s="29"/>
      <c r="L386" s="122"/>
      <c r="M386" s="122"/>
    </row>
    <row r="387" spans="1:13" s="132" customFormat="1" ht="12" customHeight="1" x14ac:dyDescent="0.3">
      <c r="A387" s="148"/>
      <c r="B387" s="71" t="str">
        <f>IF(A387="","",VLOOKUP(A387,'Database Lab+Equip'!$F:$I,2,FALSE))</f>
        <v/>
      </c>
      <c r="C387" s="142"/>
      <c r="D387" s="272"/>
      <c r="E387" s="140">
        <f>IF(A387="",0,VLOOKUP(A387,'Database Lab+Equip'!$F:$I,3,FALSE))</f>
        <v>0</v>
      </c>
      <c r="F387" s="140">
        <f>IF(A387="",0,VLOOKUP(A387,'Database Lab+Equip'!$F:$I,4,FALSE))</f>
        <v>0</v>
      </c>
      <c r="G387" s="140">
        <f t="shared" si="36"/>
        <v>0</v>
      </c>
      <c r="H387" s="140">
        <f t="shared" si="37"/>
        <v>0</v>
      </c>
      <c r="I387" s="140">
        <f t="shared" si="38"/>
        <v>0</v>
      </c>
      <c r="J387" s="84"/>
      <c r="K387" s="29"/>
      <c r="L387" s="122"/>
      <c r="M387" s="122"/>
    </row>
    <row r="388" spans="1:13" s="132" customFormat="1" ht="12" customHeight="1" x14ac:dyDescent="0.3">
      <c r="A388" s="148"/>
      <c r="B388" s="71" t="str">
        <f>IF(A388="","",VLOOKUP(A388,'Database Lab+Equip'!$F:$I,2,FALSE))</f>
        <v/>
      </c>
      <c r="C388" s="142"/>
      <c r="D388" s="272"/>
      <c r="E388" s="140">
        <f>IF(A388="",0,VLOOKUP(A388,'Database Lab+Equip'!$F:$I,3,FALSE))</f>
        <v>0</v>
      </c>
      <c r="F388" s="140">
        <f>IF(A388="",0,VLOOKUP(A388,'Database Lab+Equip'!$F:$I,4,FALSE))</f>
        <v>0</v>
      </c>
      <c r="G388" s="140">
        <f t="shared" si="36"/>
        <v>0</v>
      </c>
      <c r="H388" s="140">
        <f t="shared" si="37"/>
        <v>0</v>
      </c>
      <c r="I388" s="140">
        <f t="shared" si="38"/>
        <v>0</v>
      </c>
      <c r="J388" s="84"/>
      <c r="K388" s="29"/>
      <c r="L388" s="122"/>
      <c r="M388" s="122"/>
    </row>
    <row r="389" spans="1:13" s="132" customFormat="1" ht="12" customHeight="1" x14ac:dyDescent="0.3">
      <c r="A389" s="148"/>
      <c r="B389" s="71" t="str">
        <f>IF(A389="","",VLOOKUP(A389,'Database Lab+Equip'!$F:$I,2,FALSE))</f>
        <v/>
      </c>
      <c r="C389" s="142"/>
      <c r="D389" s="272"/>
      <c r="E389" s="140">
        <f>IF(A389="",0,VLOOKUP(A389,'Database Lab+Equip'!$F:$I,3,FALSE))</f>
        <v>0</v>
      </c>
      <c r="F389" s="140">
        <f>IF(A389="",0,VLOOKUP(A389,'Database Lab+Equip'!$F:$I,4,FALSE))</f>
        <v>0</v>
      </c>
      <c r="G389" s="140">
        <f t="shared" si="36"/>
        <v>0</v>
      </c>
      <c r="H389" s="140">
        <f t="shared" si="37"/>
        <v>0</v>
      </c>
      <c r="I389" s="140">
        <f t="shared" si="38"/>
        <v>0</v>
      </c>
      <c r="J389" s="84"/>
      <c r="K389" s="29"/>
      <c r="L389" s="122"/>
      <c r="M389" s="122"/>
    </row>
    <row r="390" spans="1:13" s="132" customFormat="1" ht="12" customHeight="1" x14ac:dyDescent="0.3">
      <c r="A390" s="148"/>
      <c r="B390" s="71" t="str">
        <f>IF(A390="","",VLOOKUP(A390,'Database Lab+Equip'!$F:$I,2,FALSE))</f>
        <v/>
      </c>
      <c r="C390" s="142"/>
      <c r="D390" s="272"/>
      <c r="E390" s="140">
        <f>IF(A390="",0,VLOOKUP(A390,'Database Lab+Equip'!$F:$I,3,FALSE))</f>
        <v>0</v>
      </c>
      <c r="F390" s="140">
        <f>IF(A390="",0,VLOOKUP(A390,'Database Lab+Equip'!$F:$I,4,FALSE))</f>
        <v>0</v>
      </c>
      <c r="G390" s="140">
        <f t="shared" si="36"/>
        <v>0</v>
      </c>
      <c r="H390" s="140">
        <f t="shared" si="37"/>
        <v>0</v>
      </c>
      <c r="I390" s="140">
        <f t="shared" si="38"/>
        <v>0</v>
      </c>
      <c r="J390" s="84"/>
      <c r="K390" s="29"/>
      <c r="L390" s="122"/>
      <c r="M390" s="122"/>
    </row>
    <row r="391" spans="1:13" s="132" customFormat="1" ht="12" customHeight="1" x14ac:dyDescent="0.3">
      <c r="A391" s="148"/>
      <c r="B391" s="71" t="str">
        <f>IF(A391="","",VLOOKUP(A391,'Database Lab+Equip'!$F:$I,2,FALSE))</f>
        <v/>
      </c>
      <c r="C391" s="142"/>
      <c r="D391" s="272"/>
      <c r="E391" s="140">
        <f>IF(A391="",0,VLOOKUP(A391,'Database Lab+Equip'!$F:$I,3,FALSE))</f>
        <v>0</v>
      </c>
      <c r="F391" s="140">
        <f>IF(A391="",0,VLOOKUP(A391,'Database Lab+Equip'!$F:$I,4,FALSE))</f>
        <v>0</v>
      </c>
      <c r="G391" s="140">
        <f t="shared" si="36"/>
        <v>0</v>
      </c>
      <c r="H391" s="140">
        <f t="shared" si="37"/>
        <v>0</v>
      </c>
      <c r="I391" s="140">
        <f t="shared" si="38"/>
        <v>0</v>
      </c>
      <c r="J391" s="84"/>
      <c r="K391" s="29"/>
      <c r="L391" s="122"/>
      <c r="M391" s="122"/>
    </row>
    <row r="392" spans="1:13" s="132" customFormat="1" ht="12" customHeight="1" x14ac:dyDescent="0.3">
      <c r="A392" s="148"/>
      <c r="B392" s="71" t="str">
        <f>IF(A392="","",VLOOKUP(A392,'Database Lab+Equip'!$F:$I,2,FALSE))</f>
        <v/>
      </c>
      <c r="C392" s="150"/>
      <c r="D392" s="273"/>
      <c r="E392" s="140">
        <f>IF(A392="",0,VLOOKUP(A392,'Database Lab+Equip'!$F:$I,3,FALSE))</f>
        <v>0</v>
      </c>
      <c r="F392" s="140">
        <f>IF(A392="",0,VLOOKUP(A392,'Database Lab+Equip'!$F:$I,4,FALSE))</f>
        <v>0</v>
      </c>
      <c r="G392" s="140">
        <f t="shared" si="36"/>
        <v>0</v>
      </c>
      <c r="H392" s="140">
        <f t="shared" si="37"/>
        <v>0</v>
      </c>
      <c r="I392" s="140">
        <f t="shared" si="38"/>
        <v>0</v>
      </c>
      <c r="J392" s="152" t="s">
        <v>108</v>
      </c>
      <c r="K392" s="153" t="s">
        <v>109</v>
      </c>
      <c r="L392" s="31"/>
      <c r="M392" s="125">
        <f>SUM(I385:I392)-SUM(G385:G392)</f>
        <v>0</v>
      </c>
    </row>
    <row r="393" spans="1:13" s="132" customFormat="1" ht="12" customHeight="1" x14ac:dyDescent="0.3">
      <c r="A393" s="72"/>
      <c r="B393" s="143"/>
      <c r="C393" s="130"/>
      <c r="D393" s="265"/>
      <c r="E393" s="122"/>
      <c r="F393" s="122"/>
      <c r="G393" s="21">
        <f>SUM(G385:G392)</f>
        <v>0</v>
      </c>
      <c r="H393" s="21">
        <f>SUM(H385:H392)</f>
        <v>0</v>
      </c>
      <c r="I393" s="21">
        <f>SUM(I385:I392)</f>
        <v>0</v>
      </c>
      <c r="J393" s="21">
        <f>G393</f>
        <v>0</v>
      </c>
      <c r="K393" s="34">
        <f>I393</f>
        <v>0</v>
      </c>
      <c r="L393" s="154">
        <f>IF(J393=0,0,(K393-J393)/J393)</f>
        <v>0</v>
      </c>
      <c r="M393" s="187">
        <f>M381+M392</f>
        <v>0</v>
      </c>
    </row>
    <row r="394" spans="1:13" s="31" customFormat="1" ht="13.8" x14ac:dyDescent="0.3">
      <c r="A394" s="110"/>
      <c r="B394" s="115"/>
      <c r="C394" s="116"/>
      <c r="D394" s="274"/>
      <c r="E394" s="117"/>
      <c r="F394" s="117"/>
      <c r="G394" s="118"/>
      <c r="H394" s="110"/>
      <c r="I394" s="161"/>
      <c r="J394" s="162">
        <f>J382+J393</f>
        <v>0</v>
      </c>
      <c r="K394" s="162">
        <f>K382+K393</f>
        <v>0</v>
      </c>
      <c r="L394" s="119">
        <f>IF(J394=0,0,(K394-J394)/K394)</f>
        <v>0</v>
      </c>
      <c r="M394" s="173"/>
    </row>
    <row r="395" spans="1:13" ht="12" customHeight="1" x14ac:dyDescent="0.3">
      <c r="J395" s="122"/>
      <c r="K395" s="122"/>
      <c r="L395" s="122"/>
    </row>
  </sheetData>
  <dataConsolidate link="1"/>
  <pageMargins left="0.70866141732283472" right="0.70866141732283472" top="0.74803149606299213" bottom="0.74803149606299213" header="0.31496062992125984" footer="0.31496062992125984"/>
  <pageSetup paperSize="9" scale="61" fitToHeight="0" orientation="landscape" verticalDpi="0" r:id="rId1"/>
  <headerFooter>
    <oddHeader>&amp;C&amp;"Calibri,Bold"&amp;11&amp;UBudget Estimate Template&amp;R&amp;G</oddHeader>
    <oddFooter>&amp;L&amp;F - &amp;A&amp;CPage &amp;P of &amp;N&amp;R&amp;D</oddFooter>
  </headerFooter>
  <rowBreaks count="3" manualBreakCount="3">
    <brk id="2" max="16383" man="1"/>
    <brk id="58" max="16383" man="1"/>
    <brk id="11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="Enter equipment resources in the database page." xr:uid="{00000000-0002-0000-0800-000000000000}">
          <x14:formula1>
            <xm:f>'Database Lab+Equip'!$F:$F</xm:f>
          </x14:formula1>
          <xm:sqref>A385:A392 A49:A56 A77:A84 A105:A112 A133:A140 A161:A168 A189:A196 A217:A224 A245:A252 A273:A280 A301:A308 A329:A336 A357:A364 A21:A28</xm:sqref>
        </x14:dataValidation>
        <x14:dataValidation type="list" allowBlank="1" error="Enter new labour resources in the database page." xr:uid="{00000000-0002-0000-0800-00000E000000}">
          <x14:formula1>
            <xm:f>'Database Lab+Equip'!$A:$A</xm:f>
          </x14:formula1>
          <xm:sqref>A377:A381 A41:A45 A69:A73 A97:A101 A125:A129 A153:A157 A181:A185 A209:A213 A237:A241 A265:A269 A293:A297 A321:A325 A349:A353 A13:A17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FB0461C3E4EC41B8366C635A06167D" ma:contentTypeVersion="10" ma:contentTypeDescription="Create a new document." ma:contentTypeScope="" ma:versionID="efb2187e45b0765ba93b0a477d82023f">
  <xsd:schema xmlns:xsd="http://www.w3.org/2001/XMLSchema" xmlns:xs="http://www.w3.org/2001/XMLSchema" xmlns:p="http://schemas.microsoft.com/office/2006/metadata/properties" xmlns:ns2="0d202ee4-08d0-4f19-882d-134192e652df" xmlns:ns3="f47a314a-b93b-4960-9503-bda527460f52" targetNamespace="http://schemas.microsoft.com/office/2006/metadata/properties" ma:root="true" ma:fieldsID="ccc4a80d7cabd6fff2c760af0406891c" ns2:_="" ns3:_="">
    <xsd:import namespace="0d202ee4-08d0-4f19-882d-134192e652df"/>
    <xsd:import namespace="f47a314a-b93b-4960-9503-bda527460f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02ee4-08d0-4f19-882d-134192e652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53304e7-116d-40fa-b648-ab0688cf1f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a314a-b93b-4960-9503-bda527460f5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f885d8-f4f3-4289-b1ff-404b016361be}" ma:internalName="TaxCatchAll" ma:showField="CatchAllData" ma:web="f47a314a-b93b-4960-9503-bda527460f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202ee4-08d0-4f19-882d-134192e652df">
      <Terms xmlns="http://schemas.microsoft.com/office/infopath/2007/PartnerControls"/>
    </lcf76f155ced4ddcb4097134ff3c332f>
    <TaxCatchAll xmlns="f47a314a-b93b-4960-9503-bda527460f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86128-945B-4EBC-A077-109486862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202ee4-08d0-4f19-882d-134192e652df"/>
    <ds:schemaRef ds:uri="f47a314a-b93b-4960-9503-bda527460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18FEEC-AD0D-4477-AA04-3C0CD40BB347}">
  <ds:schemaRefs>
    <ds:schemaRef ds:uri="http://schemas.microsoft.com/office/2006/metadata/properties"/>
    <ds:schemaRef ds:uri="http://schemas.microsoft.com/office/infopath/2007/PartnerControls"/>
    <ds:schemaRef ds:uri="0d202ee4-08d0-4f19-882d-134192e652df"/>
    <ds:schemaRef ds:uri="f47a314a-b93b-4960-9503-bda527460f52"/>
  </ds:schemaRefs>
</ds:datastoreItem>
</file>

<file path=customXml/itemProps3.xml><?xml version="1.0" encoding="utf-8"?>
<ds:datastoreItem xmlns:ds="http://schemas.openxmlformats.org/officeDocument/2006/customXml" ds:itemID="{E880BE17-3F8F-495A-955C-27A1326068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Read Me</vt:lpstr>
      <vt:lpstr>Summary</vt:lpstr>
      <vt:lpstr>Budget-Material</vt:lpstr>
      <vt:lpstr>Budget-Labour Equipment</vt:lpstr>
      <vt:lpstr>Mob-Demob</vt:lpstr>
      <vt:lpstr>Prelims</vt:lpstr>
      <vt:lpstr>Installation 1</vt:lpstr>
      <vt:lpstr>Subcontract 2</vt:lpstr>
      <vt:lpstr>Optional-3</vt:lpstr>
      <vt:lpstr>Materials 1</vt:lpstr>
      <vt:lpstr>Subcontractor 2</vt:lpstr>
      <vt:lpstr>Optional 3</vt:lpstr>
      <vt:lpstr>Pipe Capacity</vt:lpstr>
      <vt:lpstr>Database Lab+Equip</vt:lpstr>
      <vt:lpstr>'Budget-Labour Equipment'!Print_Area</vt:lpstr>
      <vt:lpstr>'Database Lab+Equip'!Print_Area</vt:lpstr>
      <vt:lpstr>'Materials 1'!Print_Area</vt:lpstr>
      <vt:lpstr>'Database Lab+Equip'!Print_Titles</vt:lpstr>
      <vt:lpstr>'Installation 1'!Print_Titles</vt:lpstr>
      <vt:lpstr>'Materials 1'!Print_Titles</vt:lpstr>
      <vt:lpstr>'Optional 3'!Print_Titles</vt:lpstr>
      <vt:lpstr>'Optional-3'!Print_Titles</vt:lpstr>
      <vt:lpstr>'Pipe Capacity'!Print_Titles</vt:lpstr>
      <vt:lpstr>'Subcontract 2'!Print_Titles</vt:lpstr>
      <vt:lpstr>'Subcontractor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Daly</dc:creator>
  <cp:keywords/>
  <dc:description/>
  <cp:lastModifiedBy>Tyson Knight</cp:lastModifiedBy>
  <cp:revision/>
  <dcterms:created xsi:type="dcterms:W3CDTF">2004-08-27T07:38:56Z</dcterms:created>
  <dcterms:modified xsi:type="dcterms:W3CDTF">2026-07-01T21:32:36Z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0x010100ADFB0461C3E4EC41B8366C635A06167D</vt:lpwstr>
  </property>
  <property fmtid="{D5CDD505-2E9C-101B-9397-08002B2CF9AE}" pid="3" name="MediaServiceImageTags">
    <vt:lpwstr/>
  </property>
</Properties>
</file>